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 Lüschen\Desktop\"/>
    </mc:Choice>
  </mc:AlternateContent>
  <workbookProtection lockStructure="1"/>
  <bookViews>
    <workbookView xWindow="0" yWindow="0" windowWidth="23040" windowHeight="867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" i="1" l="1"/>
  <c r="BJ6" i="1" l="1"/>
  <c r="BK6" i="1" l="1"/>
  <c r="AA2" i="1"/>
  <c r="Z2" i="1"/>
  <c r="Y2" i="1"/>
  <c r="X2" i="1"/>
  <c r="R21" i="1"/>
  <c r="R23" i="1" s="1"/>
  <c r="Q21" i="1"/>
  <c r="AY3" i="1"/>
  <c r="Q23" i="1" l="1"/>
  <c r="AG21" i="1"/>
  <c r="AF21" i="1"/>
  <c r="AG20" i="1"/>
  <c r="AF20" i="1"/>
  <c r="S21" i="1" l="1"/>
  <c r="S23" i="1" s="1"/>
  <c r="AS20" i="1"/>
  <c r="AS21" i="1" s="1"/>
  <c r="AV21" i="1"/>
  <c r="AV20" i="1"/>
  <c r="AT20" i="1"/>
  <c r="AT21" i="1" s="1"/>
  <c r="AU20" i="1"/>
  <c r="AU21" i="1" s="1"/>
  <c r="AU15" i="1"/>
  <c r="AU16" i="1" s="1"/>
  <c r="C21" i="1" l="1"/>
  <c r="C22" i="1" s="1"/>
  <c r="AH16" i="1"/>
  <c r="AE16" i="1"/>
  <c r="AE18" i="1" s="1"/>
  <c r="AG16" i="1"/>
  <c r="AW16" i="1"/>
  <c r="AX16" i="1"/>
  <c r="AD16" i="1"/>
  <c r="AD18" i="1" s="1"/>
  <c r="AC18" i="1"/>
  <c r="C16" i="1" l="1"/>
  <c r="AF16" i="1"/>
  <c r="AF18" i="1" s="1"/>
  <c r="C11" i="1"/>
  <c r="AG18" i="1"/>
  <c r="AU17" i="1"/>
  <c r="AE15" i="1"/>
  <c r="AD15" i="1"/>
  <c r="AV16" i="1"/>
  <c r="AV11" i="1"/>
  <c r="BP13" i="1" s="1"/>
  <c r="AV10" i="1"/>
  <c r="BP11" i="1" s="1"/>
  <c r="AU10" i="1"/>
  <c r="BO11" i="1" s="1"/>
  <c r="AT10" i="1"/>
  <c r="BN11" i="1" s="1"/>
  <c r="AS10" i="1"/>
  <c r="BM11" i="1" s="1"/>
  <c r="AV15" i="1"/>
  <c r="AT15" i="1"/>
  <c r="AT16" i="1" s="1"/>
  <c r="AS15" i="1"/>
  <c r="AS16" i="1" s="1"/>
  <c r="AT3" i="1"/>
  <c r="AS3" i="1"/>
  <c r="AR3" i="1"/>
  <c r="AQ3" i="1"/>
  <c r="AZ3" i="1"/>
  <c r="L1" i="1" s="1"/>
  <c r="BP14" i="1" l="1"/>
  <c r="BP15" i="1" s="1"/>
  <c r="F16" i="1"/>
  <c r="F18" i="1" s="1"/>
  <c r="E16" i="1"/>
  <c r="D21" i="1"/>
  <c r="O21" i="1"/>
  <c r="P21" i="1"/>
  <c r="P23" i="1" s="1"/>
  <c r="M21" i="1"/>
  <c r="N21" i="1"/>
  <c r="AD21" i="1"/>
  <c r="AD23" i="1" s="1"/>
  <c r="AB21" i="1"/>
  <c r="AC21" i="1"/>
  <c r="AC23" i="1" s="1"/>
  <c r="AE21" i="1"/>
  <c r="AA21" i="1"/>
  <c r="Z21" i="1"/>
  <c r="Y21" i="1"/>
  <c r="X21" i="1"/>
  <c r="W21" i="1"/>
  <c r="V21" i="1"/>
  <c r="V23" i="1" s="1"/>
  <c r="U21" i="1"/>
  <c r="U23" i="1" s="1"/>
  <c r="L21" i="1"/>
  <c r="I21" i="1"/>
  <c r="K21" i="1"/>
  <c r="J21" i="1"/>
  <c r="AU11" i="1"/>
  <c r="F21" i="1"/>
  <c r="H21" i="1"/>
  <c r="G21" i="1"/>
  <c r="G23" i="1" s="1"/>
  <c r="D16" i="1"/>
  <c r="D17" i="1" s="1"/>
  <c r="D18" i="1" s="1"/>
  <c r="AB16" i="1"/>
  <c r="AB18" i="1" s="1"/>
  <c r="U16" i="1"/>
  <c r="V16" i="1"/>
  <c r="W16" i="1"/>
  <c r="X16" i="1"/>
  <c r="X18" i="1" s="1"/>
  <c r="AA16" i="1"/>
  <c r="AA18" i="1" s="1"/>
  <c r="Y16" i="1"/>
  <c r="Y18" i="1" s="1"/>
  <c r="Z16" i="1"/>
  <c r="Z18" i="1" s="1"/>
  <c r="AT11" i="1"/>
  <c r="BN13" i="1" s="1"/>
  <c r="BN14" i="1" s="1"/>
  <c r="L16" i="1"/>
  <c r="L18" i="1" s="1"/>
  <c r="AG17" i="1"/>
  <c r="AF17" i="1"/>
  <c r="AD17" i="1"/>
  <c r="S16" i="1"/>
  <c r="S18" i="1" s="1"/>
  <c r="AS11" i="1"/>
  <c r="BM13" i="1" s="1"/>
  <c r="BM14" i="1" s="1"/>
  <c r="M16" i="1"/>
  <c r="M18" i="1" s="1"/>
  <c r="H16" i="1"/>
  <c r="O16" i="1"/>
  <c r="J16" i="1"/>
  <c r="J18" i="1" s="1"/>
  <c r="Q16" i="1"/>
  <c r="T16" i="1"/>
  <c r="T18" i="1" s="1"/>
  <c r="N16" i="1"/>
  <c r="N17" i="1" s="1"/>
  <c r="G16" i="1"/>
  <c r="V11" i="1"/>
  <c r="V13" i="1" s="1"/>
  <c r="U11" i="1"/>
  <c r="U13" i="1" s="1"/>
  <c r="C17" i="1"/>
  <c r="F23" i="1" l="1"/>
  <c r="AA22" i="1"/>
  <c r="BO13" i="1"/>
  <c r="BO14" i="1" s="1"/>
  <c r="BO15" i="1" s="1"/>
  <c r="I23" i="1"/>
  <c r="AB22" i="1"/>
  <c r="I22" i="1"/>
  <c r="D22" i="1"/>
  <c r="AE22" i="1"/>
  <c r="AE23" i="1"/>
  <c r="AC22" i="1"/>
  <c r="Z23" i="1"/>
  <c r="AA23" i="1"/>
  <c r="Y23" i="1"/>
  <c r="J23" i="1"/>
  <c r="Y22" i="1"/>
  <c r="W23" i="1"/>
  <c r="O22" i="1"/>
  <c r="O23" i="1"/>
  <c r="N22" i="1"/>
  <c r="N23" i="1" s="1"/>
  <c r="P22" i="1"/>
  <c r="AJ16" i="1"/>
  <c r="H18" i="1"/>
  <c r="W18" i="1"/>
  <c r="U18" i="1"/>
  <c r="V18" i="1"/>
  <c r="E18" i="1"/>
  <c r="AI16" i="1" s="1"/>
  <c r="O18" i="1"/>
  <c r="Q18" i="1"/>
  <c r="AH21" i="1"/>
  <c r="AI21" i="1"/>
  <c r="T21" i="1"/>
  <c r="S22" i="1"/>
  <c r="AI20" i="1"/>
  <c r="AH20" i="1"/>
  <c r="T11" i="1"/>
  <c r="T13" i="1" s="1"/>
  <c r="S11" i="1"/>
  <c r="S13" i="1" s="1"/>
  <c r="AX3" i="1"/>
  <c r="AW3" i="1"/>
  <c r="AV3" i="1"/>
  <c r="AU3" i="1"/>
  <c r="AF23" i="1" l="1"/>
  <c r="AG23" i="1"/>
  <c r="K22" i="1"/>
  <c r="AI23" i="1"/>
  <c r="AI22" i="1"/>
  <c r="AH23" i="1"/>
  <c r="AH22" i="1"/>
  <c r="M22" i="1"/>
  <c r="D23" i="1"/>
  <c r="T22" i="1"/>
  <c r="T23" i="1"/>
  <c r="AK16" i="1"/>
  <c r="U17" i="1" s="1"/>
  <c r="AL16" i="1"/>
  <c r="Q2" i="1"/>
  <c r="R3" i="1"/>
  <c r="T10" i="1"/>
  <c r="S10" i="1"/>
  <c r="S3" i="1"/>
  <c r="H26" i="1" l="1"/>
  <c r="AK21" i="1"/>
  <c r="V17" i="1"/>
  <c r="W17" i="1"/>
  <c r="E11" i="1"/>
  <c r="E13" i="1" s="1"/>
  <c r="D11" i="1"/>
  <c r="D13" i="1" s="1"/>
  <c r="Q11" i="1"/>
  <c r="Q13" i="1" s="1"/>
  <c r="R11" i="1"/>
  <c r="R13" i="1" s="1"/>
  <c r="O11" i="1"/>
  <c r="O12" i="1" s="1"/>
  <c r="P11" i="1"/>
  <c r="P12" i="1" s="1"/>
  <c r="F11" i="1"/>
  <c r="K11" i="1"/>
  <c r="K12" i="1" s="1"/>
  <c r="L11" i="1"/>
  <c r="L12" i="1" s="1"/>
  <c r="S17" i="1"/>
  <c r="AW11" i="1"/>
  <c r="N26" i="1"/>
  <c r="K26" i="1" s="1"/>
  <c r="E26" i="1"/>
  <c r="AY11" i="1"/>
  <c r="AX11" i="1"/>
  <c r="C12" i="1"/>
  <c r="G11" i="1"/>
  <c r="I11" i="1"/>
  <c r="I13" i="1" s="1"/>
  <c r="M11" i="1"/>
  <c r="M13" i="1" s="1"/>
  <c r="N11" i="1"/>
  <c r="N13" i="1" s="1"/>
  <c r="T17" i="1"/>
  <c r="P2" i="1"/>
  <c r="Y11" i="1" l="1"/>
  <c r="AA11" i="1"/>
  <c r="X11" i="1"/>
  <c r="G13" i="1"/>
  <c r="Z11" i="1" s="1"/>
  <c r="H11" i="1"/>
  <c r="AE17" i="1"/>
  <c r="W11" i="1"/>
  <c r="R16" i="1"/>
  <c r="Q17" i="1" s="1"/>
  <c r="K16" i="1"/>
  <c r="I16" i="1"/>
  <c r="P16" i="1"/>
  <c r="O17" i="1" s="1"/>
  <c r="J11" i="1"/>
  <c r="AK17" i="1" l="1"/>
  <c r="AL17" i="1" s="1"/>
  <c r="Z12" i="1"/>
  <c r="AA12" i="1" s="1"/>
  <c r="P17" i="1"/>
  <c r="J17" i="1"/>
  <c r="X17" i="1"/>
  <c r="G12" i="1"/>
  <c r="K17" i="1" l="1"/>
  <c r="K18" i="1" s="1"/>
  <c r="P18" i="1"/>
  <c r="H17" i="1"/>
  <c r="R17" i="1"/>
  <c r="R18" i="1" s="1"/>
  <c r="I12" i="1"/>
  <c r="J12" i="1" s="1"/>
  <c r="J13" i="1" s="1"/>
  <c r="M12" i="1"/>
  <c r="N12" i="1"/>
  <c r="S12" i="1"/>
  <c r="T12" i="1"/>
  <c r="I17" i="1" l="1"/>
  <c r="I18" i="1" s="1"/>
  <c r="H12" i="1"/>
  <c r="H13" i="1" l="1"/>
  <c r="AS12" i="1"/>
  <c r="AT12" i="1"/>
  <c r="AU12" i="1" l="1"/>
  <c r="AS17" i="1"/>
  <c r="BL6" i="1"/>
  <c r="AD22" i="1" l="1"/>
  <c r="BM15" i="1"/>
  <c r="BN15" i="1"/>
  <c r="BQ14" i="1" l="1"/>
  <c r="AQ6" i="1" l="1"/>
  <c r="BR15" i="1"/>
  <c r="BR16" i="1" l="1"/>
  <c r="BR14" i="1" s="1"/>
  <c r="A7" i="1" s="1"/>
  <c r="AR6" i="1" l="1"/>
  <c r="AS6" i="1" s="1"/>
  <c r="A6" i="1" s="1"/>
  <c r="E21" i="1" s="1"/>
  <c r="K23" i="1" s="1"/>
  <c r="AL21" i="1" s="1"/>
  <c r="X22" i="1" l="1"/>
  <c r="X23" i="1" s="1"/>
  <c r="AM21" i="1" s="1"/>
  <c r="L23" i="1"/>
  <c r="J22" i="1"/>
  <c r="Z22" i="1"/>
  <c r="L22" i="1"/>
  <c r="M23" i="1"/>
  <c r="H23" i="1" s="1"/>
  <c r="AJ21" i="1" s="1"/>
  <c r="E22" i="1"/>
  <c r="E23" i="1"/>
  <c r="AL22" i="1" l="1"/>
  <c r="AQ22" i="1" l="1"/>
  <c r="AS19" i="1" s="1"/>
  <c r="P5" i="1" s="1"/>
  <c r="AM22" i="1"/>
</calcChain>
</file>

<file path=xl/sharedStrings.xml><?xml version="1.0" encoding="utf-8"?>
<sst xmlns="http://schemas.openxmlformats.org/spreadsheetml/2006/main" count="190" uniqueCount="104">
  <si>
    <t xml:space="preserve">Anzahl der E- und Z-Kurse </t>
  </si>
  <si>
    <t>Anzahl der G-Kurse</t>
  </si>
  <si>
    <t>OK</t>
  </si>
  <si>
    <t>Note 5 in allen anderen Fächern:</t>
  </si>
  <si>
    <t>Note 6 in allen anderen Fächern:</t>
  </si>
  <si>
    <t>HS-Abschluss nach Klasse 10:</t>
  </si>
  <si>
    <t>Anzahl der Z-Kursnoten 3 und besser:</t>
  </si>
  <si>
    <t>Anzahl E- und Z-Kurse:</t>
  </si>
  <si>
    <t>Kurs:</t>
  </si>
  <si>
    <t>Deutsch</t>
  </si>
  <si>
    <t>Englisch</t>
  </si>
  <si>
    <t>Mathe</t>
  </si>
  <si>
    <t>4. Kurs</t>
  </si>
  <si>
    <t>Note:</t>
  </si>
  <si>
    <t>Kurse richtig eingegeben?</t>
  </si>
  <si>
    <t>Kursnoten richtig eingegeben?</t>
  </si>
  <si>
    <t>Note der 2. Fremdsprache:          (Französisch oder Spanisch)</t>
  </si>
  <si>
    <t>Notendurchschnitt der übrigen Fächer.</t>
  </si>
  <si>
    <t>2. Fremdsprache                             Note 5:</t>
  </si>
  <si>
    <t>2. Fremdsprache                           Note 6:</t>
  </si>
  <si>
    <t>erw. Sek I-Abschluss:</t>
  </si>
  <si>
    <t>Z-Kurse belegt?</t>
  </si>
  <si>
    <t>Anzahl E4 (inklusiv Z5):</t>
  </si>
  <si>
    <t>Anzahl G2 und besser:</t>
  </si>
  <si>
    <t>Anzahl G4:</t>
  </si>
  <si>
    <t>Anzahl E6:</t>
  </si>
  <si>
    <t>Anzahl E5:</t>
  </si>
  <si>
    <t>Anzahl G3:</t>
  </si>
  <si>
    <t>Anzahl der G4:</t>
  </si>
  <si>
    <t>Anzahl G5 (inklusiv E6):</t>
  </si>
  <si>
    <t>Ausgleichsmöglichkeit für G5?</t>
  </si>
  <si>
    <t>Anzahl G6:</t>
  </si>
  <si>
    <t>Ausgleichsmöglichkeit für G6?</t>
  </si>
  <si>
    <t>Anzahl G5:</t>
  </si>
  <si>
    <t>Anzahl Note 3 in allen anderen Fächern:</t>
  </si>
  <si>
    <t>Anzahl Note 2 in allen anderen Fächern:</t>
  </si>
  <si>
    <t>Kurzfächer (Zweistündig und weniger!)</t>
  </si>
  <si>
    <t>Langfächer (Dreistündig und mehr!)</t>
  </si>
  <si>
    <t>Wie oft Note 3  in allen anderen Fächern?</t>
  </si>
  <si>
    <t>Wie oft Note 2 oder besser in allen anderen Fächern?</t>
  </si>
  <si>
    <t>Anzahl Note 3 oder besser:</t>
  </si>
  <si>
    <t>Zeugnisnote des Faches der mündlichen Prüfung:</t>
  </si>
  <si>
    <t>Anzahl G3 (inklusiv E4):</t>
  </si>
  <si>
    <t>Ausgleichsmöglichkeiten für G4?</t>
  </si>
  <si>
    <t>Anzahl G2:</t>
  </si>
  <si>
    <t>Anzahl E3:</t>
  </si>
  <si>
    <t>Anzahl G1:</t>
  </si>
  <si>
    <t>Anzahl E2:</t>
  </si>
  <si>
    <t>Anzahl E1:</t>
  </si>
  <si>
    <t>Anzahl E2 und besser (inklusiv Z1 bis Z3):</t>
  </si>
  <si>
    <t>Anzahl E3 (inklusiv Z4):</t>
  </si>
  <si>
    <t>Anzahl E5 (inklusiv Z6) und 2. Fremdsprache 5:</t>
  </si>
  <si>
    <t>Anzahl E6                           und 2. Fremdsprache 6:</t>
  </si>
  <si>
    <t>Ausgleichsmöglichkeit für E6/ 2. Fremdspr. 6?</t>
  </si>
  <si>
    <t>Ausgleichsmöglichkeit für E5/ 2. Fremdspr. 5?</t>
  </si>
  <si>
    <t>Anzahl Note 2 oder besser:</t>
  </si>
  <si>
    <t>Anzahl Note 3:</t>
  </si>
  <si>
    <t>Mindestanforderungen übrige Fächer erfüllt?</t>
  </si>
  <si>
    <t xml:space="preserve">Biologie </t>
  </si>
  <si>
    <t>Chemie</t>
  </si>
  <si>
    <t>Geschichte</t>
  </si>
  <si>
    <t>Erdkunde</t>
  </si>
  <si>
    <t>Politik</t>
  </si>
  <si>
    <t>Wirtschaft</t>
  </si>
  <si>
    <t>Kunst</t>
  </si>
  <si>
    <t>Musik</t>
  </si>
  <si>
    <t>Sport</t>
  </si>
  <si>
    <t>Anzahl der E1                (inklusivZ1 und Z2):</t>
  </si>
  <si>
    <t>Anzahl E2                    (inklusiv Z3):</t>
  </si>
  <si>
    <t>Anzahl E3                    (inklusiv Z4):</t>
  </si>
  <si>
    <t>Anzahl E4                     (inklusiv Z5):</t>
  </si>
  <si>
    <t>Anzahl E5                   (inklusiv Z6):</t>
  </si>
  <si>
    <t>Anzahl G5                                 und schlechter:</t>
  </si>
  <si>
    <t>Realschul-abschluss:</t>
  </si>
  <si>
    <t>Ok</t>
  </si>
  <si>
    <t>Reli/ WN</t>
  </si>
  <si>
    <t>Unterschreitungen (Langfächer):</t>
  </si>
  <si>
    <t>Unterschreitungen (Kurzfächer):</t>
  </si>
  <si>
    <t>Überschreitungen (Kurzfächer):</t>
  </si>
  <si>
    <t>Überschreitungen (Langfächer):</t>
  </si>
  <si>
    <t>Überschreitungen          (Kurzfächer):</t>
  </si>
  <si>
    <t>Unterschreitung (Langfächer):</t>
  </si>
  <si>
    <t>Unterschreitung (Kurzfächer):</t>
  </si>
  <si>
    <t>Unterschreitung  (Langfächer):</t>
  </si>
  <si>
    <t>Unterschreitung der (Kurzfächer):</t>
  </si>
  <si>
    <t>2. Fremdsprache                             Note 1:</t>
  </si>
  <si>
    <t>2. Fremdsprache                           Note 2:</t>
  </si>
  <si>
    <t>Berechnung des Notendurchschnitts</t>
  </si>
  <si>
    <t>Anzahlen:</t>
  </si>
  <si>
    <t>Mindest-anford.</t>
  </si>
  <si>
    <t>Durchschnitt der übrigen Fächer:</t>
  </si>
  <si>
    <t>G</t>
  </si>
  <si>
    <t>Z</t>
  </si>
  <si>
    <t>E</t>
  </si>
  <si>
    <t>Mindestanforderung:</t>
  </si>
  <si>
    <t>Anzahl der Fächer für Durchschnittsberechnung                                   (ohne Kursnoten)</t>
  </si>
  <si>
    <t>Anzahl der Fächer für Durchschnittsberechnung                         (ggf. mit Kursnoten)</t>
  </si>
  <si>
    <t>Summe der Noten                                         (ohne Kurse)</t>
  </si>
  <si>
    <t>Summe der Noten                                         (ggf. mit Kurse)</t>
  </si>
  <si>
    <t>Notendurchschnitt                                                   (eventuell mit Kurse)</t>
  </si>
  <si>
    <t>Noten, die evetuell zur Durch-schnitts-berechnung zu berück-sichtigen sind:</t>
  </si>
  <si>
    <t>Tatsächliche Note:</t>
  </si>
  <si>
    <t>Profil</t>
  </si>
  <si>
    <t>WPK 2/SchüFi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</si>
</sst>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medium">
        <color auto="1"/>
      </right>
      <top style="thick">
        <color rgb="FFC00000"/>
      </top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ck">
        <color rgb="FFC00000"/>
      </top>
      <bottom style="thick">
        <color rgb="FFC00000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auto="1"/>
      </right>
      <top style="thick">
        <color rgb="FFC00000"/>
      </top>
      <bottom style="thick">
        <color rgb="FFC00000"/>
      </bottom>
      <diagonal/>
    </border>
    <border>
      <left/>
      <right style="thick">
        <color rgb="FFFF0000"/>
      </right>
      <top style="thick">
        <color rgb="FFC00000"/>
      </top>
      <bottom style="thick">
        <color rgb="FFC00000"/>
      </bottom>
      <diagonal/>
    </border>
    <border>
      <left style="thick">
        <color rgb="FFFF0000"/>
      </left>
      <right/>
      <top style="medium">
        <color auto="1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rgb="FFFF0000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medium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5" fillId="2" borderId="59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textRotation="180" wrapText="1"/>
    </xf>
    <xf numFmtId="0" fontId="1" fillId="0" borderId="18" xfId="0" applyFont="1" applyBorder="1" applyAlignment="1" applyProtection="1">
      <alignment horizontal="center" textRotation="180" wrapText="1"/>
    </xf>
    <xf numFmtId="0" fontId="1" fillId="0" borderId="9" xfId="0" applyFont="1" applyBorder="1" applyAlignment="1" applyProtection="1">
      <alignment horizontal="center" textRotation="180" wrapText="1"/>
    </xf>
    <xf numFmtId="0" fontId="0" fillId="0" borderId="0" xfId="0" applyProtection="1"/>
    <xf numFmtId="0" fontId="7" fillId="8" borderId="13" xfId="0" applyFont="1" applyFill="1" applyBorder="1" applyAlignment="1" applyProtection="1">
      <alignment horizontal="center" textRotation="180" wrapText="1"/>
    </xf>
    <xf numFmtId="0" fontId="15" fillId="8" borderId="14" xfId="0" applyFont="1" applyFill="1" applyBorder="1" applyAlignment="1" applyProtection="1">
      <alignment horizontal="center" textRotation="180" wrapText="1"/>
    </xf>
    <xf numFmtId="0" fontId="15" fillId="11" borderId="13" xfId="0" applyFont="1" applyFill="1" applyBorder="1" applyAlignment="1" applyProtection="1">
      <alignment horizontal="center" textRotation="180" wrapText="1"/>
    </xf>
    <xf numFmtId="0" fontId="5" fillId="0" borderId="19" xfId="0" applyFont="1" applyBorder="1" applyAlignment="1" applyProtection="1">
      <alignment horizontal="center" vertical="center" textRotation="180" wrapText="1"/>
    </xf>
    <xf numFmtId="0" fontId="5" fillId="0" borderId="5" xfId="0" applyFont="1" applyBorder="1" applyAlignment="1" applyProtection="1">
      <alignment horizontal="center" vertical="center" textRotation="180" wrapText="1"/>
    </xf>
    <xf numFmtId="0" fontId="5" fillId="0" borderId="0" xfId="0" applyFont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9" fillId="14" borderId="25" xfId="0" applyFont="1" applyFill="1" applyBorder="1" applyAlignment="1" applyProtection="1">
      <alignment horizontal="center" textRotation="180" wrapText="1"/>
    </xf>
    <xf numFmtId="0" fontId="15" fillId="7" borderId="65" xfId="0" applyFont="1" applyFill="1" applyBorder="1" applyAlignment="1" applyProtection="1">
      <alignment horizontal="center" textRotation="180"/>
    </xf>
    <xf numFmtId="0" fontId="15" fillId="7" borderId="16" xfId="0" applyFont="1" applyFill="1" applyBorder="1" applyAlignment="1" applyProtection="1">
      <alignment horizontal="center" textRotation="180"/>
    </xf>
    <xf numFmtId="1" fontId="15" fillId="7" borderId="16" xfId="0" applyNumberFormat="1" applyFont="1" applyFill="1" applyBorder="1" applyAlignment="1" applyProtection="1">
      <alignment horizontal="center" textRotation="180"/>
    </xf>
    <xf numFmtId="0" fontId="15" fillId="7" borderId="17" xfId="0" applyFont="1" applyFill="1" applyBorder="1" applyAlignment="1" applyProtection="1">
      <alignment horizontal="center" textRotation="180"/>
    </xf>
    <xf numFmtId="0" fontId="1" fillId="4" borderId="66" xfId="0" applyFont="1" applyFill="1" applyBorder="1" applyAlignment="1" applyProtection="1">
      <alignment horizontal="center" textRotation="180" wrapText="1"/>
    </xf>
    <xf numFmtId="0" fontId="16" fillId="7" borderId="2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textRotation="180" wrapText="1"/>
    </xf>
    <xf numFmtId="0" fontId="4" fillId="2" borderId="8" xfId="0" applyFont="1" applyFill="1" applyBorder="1" applyAlignment="1" applyProtection="1">
      <alignment horizontal="center" textRotation="180" wrapText="1"/>
    </xf>
    <xf numFmtId="0" fontId="4" fillId="2" borderId="18" xfId="0" applyFont="1" applyFill="1" applyBorder="1" applyAlignment="1" applyProtection="1">
      <alignment horizontal="center" textRotation="180" wrapText="1"/>
    </xf>
    <xf numFmtId="0" fontId="4" fillId="2" borderId="9" xfId="0" applyFont="1" applyFill="1" applyBorder="1" applyAlignment="1" applyProtection="1">
      <alignment horizontal="center" textRotation="180" wrapText="1"/>
    </xf>
    <xf numFmtId="0" fontId="4" fillId="2" borderId="30" xfId="0" applyFont="1" applyFill="1" applyBorder="1" applyAlignment="1" applyProtection="1">
      <alignment horizontal="center" textRotation="180" wrapText="1"/>
    </xf>
    <xf numFmtId="0" fontId="2" fillId="10" borderId="22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center" vertical="center"/>
    </xf>
    <xf numFmtId="0" fontId="2" fillId="10" borderId="21" xfId="0" applyFont="1" applyFill="1" applyBorder="1" applyAlignment="1" applyProtection="1">
      <alignment horizontal="center" vertical="center"/>
    </xf>
    <xf numFmtId="0" fontId="2" fillId="10" borderId="11" xfId="0" applyFont="1" applyFill="1" applyBorder="1" applyAlignment="1" applyProtection="1">
      <alignment horizontal="center" vertical="center"/>
    </xf>
    <xf numFmtId="1" fontId="2" fillId="10" borderId="21" xfId="0" applyNumberFormat="1" applyFont="1" applyFill="1" applyBorder="1" applyAlignment="1" applyProtection="1">
      <alignment horizontal="center" vertical="center"/>
    </xf>
    <xf numFmtId="0" fontId="2" fillId="10" borderId="28" xfId="0" applyFont="1" applyFill="1" applyBorder="1" applyAlignment="1" applyProtection="1">
      <alignment horizontal="center" vertical="center"/>
    </xf>
    <xf numFmtId="1" fontId="2" fillId="10" borderId="11" xfId="0" applyNumberFormat="1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9" borderId="40" xfId="0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 applyProtection="1">
      <alignment horizontal="center" vertical="center" wrapText="1"/>
    </xf>
    <xf numFmtId="0" fontId="0" fillId="9" borderId="20" xfId="0" applyFont="1" applyFill="1" applyBorder="1" applyAlignment="1" applyProtection="1">
      <alignment horizontal="center" vertical="center" wrapText="1"/>
    </xf>
    <xf numFmtId="0" fontId="0" fillId="9" borderId="45" xfId="0" applyFill="1" applyBorder="1" applyAlignment="1" applyProtection="1">
      <alignment horizontal="center" vertical="center" wrapText="1"/>
    </xf>
    <xf numFmtId="0" fontId="0" fillId="9" borderId="37" xfId="0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horizontal="center" vertical="center" wrapText="1"/>
    </xf>
    <xf numFmtId="0" fontId="0" fillId="9" borderId="20" xfId="0" applyFill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wrapText="1"/>
    </xf>
    <xf numFmtId="0" fontId="0" fillId="9" borderId="6" xfId="0" applyFill="1" applyBorder="1" applyAlignment="1" applyProtection="1">
      <alignment horizontal="center" vertical="center" wrapText="1"/>
    </xf>
    <xf numFmtId="0" fontId="0" fillId="9" borderId="7" xfId="0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0" fillId="0" borderId="27" xfId="0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textRotation="180" wrapText="1"/>
    </xf>
    <xf numFmtId="0" fontId="4" fillId="3" borderId="9" xfId="0" applyFont="1" applyFill="1" applyBorder="1" applyAlignment="1" applyProtection="1">
      <alignment horizontal="center" textRotation="180" wrapText="1"/>
    </xf>
    <xf numFmtId="0" fontId="4" fillId="3" borderId="30" xfId="0" applyFont="1" applyFill="1" applyBorder="1" applyAlignment="1" applyProtection="1">
      <alignment horizontal="center" textRotation="180" wrapText="1"/>
    </xf>
    <xf numFmtId="0" fontId="4" fillId="3" borderId="18" xfId="0" applyFont="1" applyFill="1" applyBorder="1" applyAlignment="1" applyProtection="1">
      <alignment horizontal="center" textRotation="180" wrapText="1"/>
    </xf>
    <xf numFmtId="0" fontId="4" fillId="3" borderId="46" xfId="0" applyFont="1" applyFill="1" applyBorder="1" applyAlignment="1" applyProtection="1">
      <alignment horizontal="center" textRotation="180" wrapText="1"/>
    </xf>
    <xf numFmtId="0" fontId="2" fillId="10" borderId="5" xfId="0" applyFont="1" applyFill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/>
    </xf>
    <xf numFmtId="0" fontId="2" fillId="10" borderId="19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</xf>
    <xf numFmtId="0" fontId="13" fillId="10" borderId="38" xfId="0" applyFont="1" applyFill="1" applyBorder="1" applyAlignment="1" applyProtection="1">
      <alignment horizontal="center" vertical="center"/>
    </xf>
    <xf numFmtId="0" fontId="2" fillId="10" borderId="42" xfId="0" applyFont="1" applyFill="1" applyBorder="1" applyAlignment="1" applyProtection="1">
      <alignment horizontal="center" vertical="center"/>
    </xf>
    <xf numFmtId="0" fontId="0" fillId="9" borderId="43" xfId="0" applyFont="1" applyFill="1" applyBorder="1" applyAlignment="1" applyProtection="1">
      <alignment horizontal="center" vertical="center" wrapText="1"/>
    </xf>
    <xf numFmtId="0" fontId="12" fillId="9" borderId="36" xfId="0" applyFont="1" applyFill="1" applyBorder="1" applyAlignment="1" applyProtection="1">
      <alignment horizontal="center" vertical="center" wrapText="1"/>
    </xf>
    <xf numFmtId="0" fontId="12" fillId="9" borderId="43" xfId="0" applyFont="1" applyFill="1" applyBorder="1" applyAlignment="1" applyProtection="1">
      <alignment horizontal="center" vertical="center" wrapText="1"/>
    </xf>
    <xf numFmtId="0" fontId="12" fillId="9" borderId="44" xfId="0" applyFont="1" applyFill="1" applyBorder="1" applyAlignment="1" applyProtection="1">
      <alignment horizontal="center" vertical="center" wrapText="1"/>
    </xf>
    <xf numFmtId="0" fontId="14" fillId="9" borderId="44" xfId="0" applyNumberFormat="1" applyFont="1" applyFill="1" applyBorder="1" applyAlignment="1" applyProtection="1">
      <alignment horizontal="center" vertical="center" wrapText="1"/>
    </xf>
    <xf numFmtId="0" fontId="0" fillId="9" borderId="47" xfId="0" applyFont="1" applyFill="1" applyBorder="1" applyAlignment="1" applyProtection="1">
      <alignment horizontal="center" vertical="center" wrapText="1"/>
    </xf>
    <xf numFmtId="0" fontId="0" fillId="9" borderId="44" xfId="0" applyFont="1" applyFill="1" applyBorder="1" applyAlignment="1" applyProtection="1">
      <alignment horizontal="center" vertical="center" wrapText="1"/>
    </xf>
    <xf numFmtId="0" fontId="0" fillId="9" borderId="44" xfId="0" applyFont="1" applyFill="1" applyBorder="1" applyAlignment="1" applyProtection="1">
      <alignment horizontal="center" vertical="center"/>
    </xf>
    <xf numFmtId="0" fontId="0" fillId="9" borderId="3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textRotation="180" wrapText="1"/>
    </xf>
    <xf numFmtId="0" fontId="4" fillId="6" borderId="18" xfId="0" applyFont="1" applyFill="1" applyBorder="1" applyAlignment="1" applyProtection="1">
      <alignment horizontal="center" textRotation="180" wrapText="1"/>
    </xf>
    <xf numFmtId="0" fontId="4" fillId="6" borderId="46" xfId="0" applyFont="1" applyFill="1" applyBorder="1" applyAlignment="1" applyProtection="1">
      <alignment horizontal="center" textRotation="180" wrapText="1"/>
    </xf>
    <xf numFmtId="0" fontId="4" fillId="6" borderId="13" xfId="0" applyFont="1" applyFill="1" applyBorder="1" applyAlignment="1" applyProtection="1">
      <alignment horizontal="center" textRotation="180" wrapText="1"/>
    </xf>
    <xf numFmtId="0" fontId="4" fillId="6" borderId="39" xfId="0" applyFont="1" applyFill="1" applyBorder="1" applyAlignment="1" applyProtection="1">
      <alignment horizontal="center" textRotation="180" wrapText="1"/>
    </xf>
    <xf numFmtId="0" fontId="4" fillId="6" borderId="14" xfId="0" applyFont="1" applyFill="1" applyBorder="1" applyAlignment="1" applyProtection="1">
      <alignment horizontal="center" textRotation="180" wrapText="1"/>
    </xf>
    <xf numFmtId="0" fontId="4" fillId="6" borderId="49" xfId="0" applyFont="1" applyFill="1" applyBorder="1" applyAlignment="1" applyProtection="1">
      <alignment horizontal="center" textRotation="180" wrapText="1"/>
    </xf>
    <xf numFmtId="2" fontId="5" fillId="10" borderId="42" xfId="0" applyNumberFormat="1" applyFont="1" applyFill="1" applyBorder="1" applyAlignment="1" applyProtection="1">
      <alignment horizontal="center" vertical="center"/>
    </xf>
    <xf numFmtId="0" fontId="2" fillId="10" borderId="50" xfId="0" applyFont="1" applyFill="1" applyBorder="1" applyAlignment="1" applyProtection="1">
      <alignment horizontal="center" vertical="center"/>
    </xf>
    <xf numFmtId="1" fontId="2" fillId="10" borderId="4" xfId="0" applyNumberFormat="1" applyFont="1" applyFill="1" applyBorder="1" applyAlignment="1" applyProtection="1">
      <alignment horizontal="center" vertical="center"/>
    </xf>
    <xf numFmtId="1" fontId="2" fillId="10" borderId="50" xfId="0" applyNumberFormat="1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 applyProtection="1">
      <alignment horizontal="center" vertical="center" wrapText="1"/>
    </xf>
    <xf numFmtId="1" fontId="14" fillId="9" borderId="20" xfId="0" applyNumberFormat="1" applyFont="1" applyFill="1" applyBorder="1" applyAlignment="1" applyProtection="1">
      <alignment horizontal="center" vertical="center" wrapText="1"/>
    </xf>
    <xf numFmtId="0" fontId="14" fillId="9" borderId="20" xfId="0" applyFont="1" applyFill="1" applyBorder="1" applyAlignment="1" applyProtection="1">
      <alignment horizontal="center" vertical="center" wrapText="1"/>
    </xf>
    <xf numFmtId="1" fontId="14" fillId="9" borderId="7" xfId="0" applyNumberFormat="1" applyFont="1" applyFill="1" applyBorder="1" applyAlignment="1" applyProtection="1">
      <alignment horizontal="center" vertical="center" wrapText="1"/>
    </xf>
    <xf numFmtId="0" fontId="14" fillId="9" borderId="6" xfId="0" applyFont="1" applyFill="1" applyBorder="1" applyAlignment="1" applyProtection="1">
      <alignment horizontal="center" vertical="center" wrapText="1"/>
    </xf>
    <xf numFmtId="0" fontId="14" fillId="9" borderId="37" xfId="0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2" fillId="0" borderId="0" xfId="0" applyFont="1" applyFill="1" applyBorder="1" applyAlignment="1" applyProtection="1">
      <alignment horizontal="right" vertical="center"/>
    </xf>
    <xf numFmtId="0" fontId="9" fillId="5" borderId="67" xfId="0" applyFont="1" applyFill="1" applyBorder="1" applyAlignment="1" applyProtection="1">
      <alignment horizontal="center" vertical="center" wrapText="1"/>
      <protection locked="0"/>
    </xf>
    <xf numFmtId="0" fontId="9" fillId="5" borderId="68" xfId="0" applyFont="1" applyFill="1" applyBorder="1" applyAlignment="1" applyProtection="1">
      <alignment horizontal="center" vertical="center" wrapText="1"/>
      <protection locked="0"/>
    </xf>
    <xf numFmtId="0" fontId="9" fillId="5" borderId="69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1" fontId="0" fillId="0" borderId="0" xfId="0" applyNumberFormat="1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center" textRotation="180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8" borderId="25" xfId="0" applyFont="1" applyFill="1" applyBorder="1" applyAlignment="1" applyProtection="1">
      <alignment horizontal="center" vertical="center"/>
    </xf>
    <xf numFmtId="0" fontId="2" fillId="8" borderId="29" xfId="0" applyFont="1" applyFill="1" applyBorder="1" applyAlignment="1" applyProtection="1">
      <alignment horizontal="center" vertical="center"/>
    </xf>
    <xf numFmtId="0" fontId="16" fillId="5" borderId="63" xfId="0" applyFont="1" applyFill="1" applyBorder="1" applyAlignment="1" applyProtection="1">
      <alignment horizontal="center" vertical="center"/>
    </xf>
    <xf numFmtId="0" fontId="16" fillId="5" borderId="27" xfId="0" applyFont="1" applyFill="1" applyBorder="1" applyAlignment="1" applyProtection="1">
      <alignment horizontal="center" vertical="center"/>
    </xf>
    <xf numFmtId="0" fontId="16" fillId="5" borderId="6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" fillId="2" borderId="57" xfId="0" applyFont="1" applyFill="1" applyBorder="1" applyAlignment="1" applyProtection="1">
      <alignment horizontal="center" textRotation="180" wrapText="1"/>
    </xf>
    <xf numFmtId="0" fontId="2" fillId="2" borderId="58" xfId="0" applyFont="1" applyFill="1" applyBorder="1" applyAlignment="1" applyProtection="1">
      <alignment horizontal="center" textRotation="180" wrapText="1"/>
    </xf>
    <xf numFmtId="0" fontId="2" fillId="2" borderId="33" xfId="0" applyFont="1" applyFill="1" applyBorder="1" applyAlignment="1" applyProtection="1">
      <alignment horizontal="center" textRotation="180" wrapText="1"/>
    </xf>
    <xf numFmtId="0" fontId="2" fillId="2" borderId="60" xfId="0" applyFont="1" applyFill="1" applyBorder="1" applyAlignment="1" applyProtection="1">
      <alignment horizontal="center" textRotation="180" wrapTex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18" fillId="7" borderId="31" xfId="0" applyFont="1" applyFill="1" applyBorder="1" applyAlignment="1" applyProtection="1">
      <alignment horizontal="center" vertical="center" wrapText="1"/>
    </xf>
    <xf numFmtId="0" fontId="18" fillId="7" borderId="32" xfId="0" applyFont="1" applyFill="1" applyBorder="1" applyAlignment="1" applyProtection="1">
      <alignment horizontal="center" vertical="center" wrapText="1"/>
    </xf>
    <xf numFmtId="0" fontId="18" fillId="7" borderId="2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33" xfId="0" applyFont="1" applyFill="1" applyBorder="1" applyAlignment="1" applyProtection="1">
      <alignment horizontal="center" vertical="center" wrapText="1"/>
    </xf>
    <xf numFmtId="0" fontId="18" fillId="7" borderId="34" xfId="0" applyFont="1" applyFill="1" applyBorder="1" applyAlignment="1" applyProtection="1">
      <alignment horizontal="center" vertical="center" wrapText="1"/>
    </xf>
    <xf numFmtId="0" fontId="2" fillId="12" borderId="31" xfId="0" applyFont="1" applyFill="1" applyBorder="1" applyAlignment="1" applyProtection="1">
      <alignment horizontal="center" vertical="center" wrapText="1"/>
    </xf>
    <xf numFmtId="0" fontId="2" fillId="12" borderId="27" xfId="0" applyFont="1" applyFill="1" applyBorder="1" applyAlignment="1" applyProtection="1">
      <alignment horizontal="center" vertical="center" wrapText="1"/>
    </xf>
    <xf numFmtId="0" fontId="2" fillId="12" borderId="32" xfId="0" applyFont="1" applyFill="1" applyBorder="1" applyAlignment="1" applyProtection="1">
      <alignment horizontal="center" vertical="center" wrapText="1"/>
    </xf>
    <xf numFmtId="0" fontId="11" fillId="5" borderId="25" xfId="0" applyFont="1" applyFill="1" applyBorder="1" applyAlignment="1" applyProtection="1">
      <alignment horizontal="center" vertical="center" wrapText="1"/>
    </xf>
    <xf numFmtId="0" fontId="11" fillId="5" borderId="29" xfId="0" applyFont="1" applyFill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horizontal="center" vertical="center" wrapText="1"/>
    </xf>
    <xf numFmtId="0" fontId="12" fillId="9" borderId="37" xfId="0" applyFont="1" applyFill="1" applyBorder="1" applyAlignment="1" applyProtection="1">
      <alignment horizontal="center" vertical="center" wrapText="1"/>
    </xf>
    <xf numFmtId="0" fontId="12" fillId="9" borderId="48" xfId="0" applyFont="1" applyFill="1" applyBorder="1" applyAlignment="1" applyProtection="1">
      <alignment horizontal="center" vertical="center" wrapText="1"/>
    </xf>
    <xf numFmtId="0" fontId="18" fillId="13" borderId="31" xfId="0" applyFont="1" applyFill="1" applyBorder="1" applyAlignment="1" applyProtection="1">
      <alignment horizontal="center" vertical="center" wrapText="1"/>
    </xf>
    <xf numFmtId="0" fontId="18" fillId="13" borderId="32" xfId="0" applyFont="1" applyFill="1" applyBorder="1" applyAlignment="1" applyProtection="1">
      <alignment horizontal="center" vertical="center" wrapText="1"/>
    </xf>
    <xf numFmtId="0" fontId="18" fillId="13" borderId="2" xfId="0" applyFont="1" applyFill="1" applyBorder="1" applyAlignment="1" applyProtection="1">
      <alignment horizontal="center" vertical="center" wrapText="1"/>
    </xf>
    <xf numFmtId="0" fontId="18" fillId="13" borderId="3" xfId="0" applyFont="1" applyFill="1" applyBorder="1" applyAlignment="1" applyProtection="1">
      <alignment horizontal="center" vertical="center" wrapText="1"/>
    </xf>
    <xf numFmtId="0" fontId="18" fillId="13" borderId="33" xfId="0" applyFont="1" applyFill="1" applyBorder="1" applyAlignment="1" applyProtection="1">
      <alignment horizontal="center" vertical="center" wrapText="1"/>
    </xf>
    <xf numFmtId="0" fontId="18" fillId="13" borderId="34" xfId="0" applyFont="1" applyFill="1" applyBorder="1" applyAlignment="1" applyProtection="1">
      <alignment horizontal="center" vertical="center" wrapText="1"/>
    </xf>
    <xf numFmtId="0" fontId="18" fillId="11" borderId="31" xfId="0" applyFont="1" applyFill="1" applyBorder="1" applyAlignment="1" applyProtection="1">
      <alignment horizontal="center" vertical="center" wrapText="1"/>
    </xf>
    <xf numFmtId="0" fontId="18" fillId="11" borderId="32" xfId="0" applyFont="1" applyFill="1" applyBorder="1" applyAlignment="1" applyProtection="1">
      <alignment horizontal="center" vertical="center" wrapText="1"/>
    </xf>
    <xf numFmtId="0" fontId="18" fillId="11" borderId="2" xfId="0" applyFont="1" applyFill="1" applyBorder="1" applyAlignment="1" applyProtection="1">
      <alignment horizontal="center" vertical="center" wrapText="1"/>
    </xf>
    <xf numFmtId="0" fontId="18" fillId="11" borderId="3" xfId="0" applyFont="1" applyFill="1" applyBorder="1" applyAlignment="1" applyProtection="1">
      <alignment horizontal="center" vertical="center" wrapText="1"/>
    </xf>
    <xf numFmtId="0" fontId="18" fillId="11" borderId="33" xfId="0" applyFont="1" applyFill="1" applyBorder="1" applyAlignment="1" applyProtection="1">
      <alignment horizontal="center" vertical="center" wrapText="1"/>
    </xf>
    <xf numFmtId="0" fontId="18" fillId="11" borderId="3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textRotation="180" wrapText="1"/>
    </xf>
    <xf numFmtId="0" fontId="2" fillId="12" borderId="25" xfId="0" applyFont="1" applyFill="1" applyBorder="1" applyAlignment="1" applyProtection="1">
      <alignment horizontal="center" vertical="center" wrapText="1"/>
    </xf>
    <xf numFmtId="0" fontId="2" fillId="12" borderId="29" xfId="0" applyFont="1" applyFill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7" fillId="2" borderId="54" xfId="0" applyFont="1" applyFill="1" applyBorder="1" applyAlignment="1" applyProtection="1">
      <alignment horizontal="center" textRotation="180" wrapText="1"/>
    </xf>
    <xf numFmtId="0" fontId="17" fillId="2" borderId="55" xfId="0" applyFont="1" applyFill="1" applyBorder="1" applyAlignment="1" applyProtection="1">
      <alignment horizontal="center" textRotation="180" wrapText="1"/>
    </xf>
    <xf numFmtId="0" fontId="17" fillId="5" borderId="56" xfId="0" applyFont="1" applyFill="1" applyBorder="1" applyAlignment="1" applyProtection="1">
      <alignment horizontal="center" textRotation="180" wrapText="1"/>
    </xf>
    <xf numFmtId="0" fontId="17" fillId="5" borderId="55" xfId="0" applyFont="1" applyFill="1" applyBorder="1" applyAlignment="1" applyProtection="1">
      <alignment horizontal="center" textRotation="180" wrapText="1"/>
    </xf>
    <xf numFmtId="0" fontId="17" fillId="3" borderId="56" xfId="0" applyFont="1" applyFill="1" applyBorder="1" applyAlignment="1" applyProtection="1">
      <alignment horizontal="center" textRotation="180" wrapText="1"/>
    </xf>
    <xf numFmtId="0" fontId="17" fillId="3" borderId="55" xfId="0" applyFont="1" applyFill="1" applyBorder="1" applyAlignment="1" applyProtection="1">
      <alignment horizontal="center" textRotation="180" wrapText="1"/>
    </xf>
    <xf numFmtId="0" fontId="17" fillId="9" borderId="56" xfId="0" applyFont="1" applyFill="1" applyBorder="1" applyAlignment="1" applyProtection="1">
      <alignment horizontal="center" textRotation="180" wrapText="1"/>
    </xf>
    <xf numFmtId="0" fontId="17" fillId="9" borderId="55" xfId="0" applyFont="1" applyFill="1" applyBorder="1" applyAlignment="1" applyProtection="1">
      <alignment horizontal="center" textRotation="180" wrapText="1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16" fillId="15" borderId="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399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b/>
        <i val="0"/>
        <color rgb="FFC0000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ont>
        <color theme="0" tint="-0.14996795556505021"/>
      </font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ont>
        <color theme="0" tint="-0.14996795556505021"/>
      </font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 tint="-0.14996795556505021"/>
      </font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 tint="-0.14996795556505021"/>
      </font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 tint="-0.14996795556505021"/>
      </font>
    </dxf>
    <dxf>
      <fill>
        <patternFill>
          <bgColor rgb="FFFF7F6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7F61"/>
        </patternFill>
      </fill>
    </dxf>
    <dxf>
      <fill>
        <patternFill>
          <bgColor theme="9" tint="0.79998168889431442"/>
        </patternFill>
      </fill>
    </dxf>
    <dxf>
      <fill>
        <patternFill>
          <bgColor rgb="FFFF7F6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7F61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7F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276225</xdr:colOff>
      <xdr:row>2</xdr:row>
      <xdr:rowOff>85725</xdr:rowOff>
    </xdr:from>
    <xdr:to>
      <xdr:col>30</xdr:col>
      <xdr:colOff>133350</xdr:colOff>
      <xdr:row>4</xdr:row>
      <xdr:rowOff>676276</xdr:rowOff>
    </xdr:to>
    <xdr:sp macro="" textlink="">
      <xdr:nvSpPr>
        <xdr:cNvPr id="7" name="Sprechblase: oval 6">
          <a:extLst>
            <a:ext uri="{FF2B5EF4-FFF2-40B4-BE49-F238E27FC236}">
              <a16:creationId xmlns:a16="http://schemas.microsoft.com/office/drawing/2014/main" id="{CC4CD94D-5F2D-4157-B917-4960B8E85B08}"/>
            </a:ext>
          </a:extLst>
        </xdr:cNvPr>
        <xdr:cNvSpPr/>
      </xdr:nvSpPr>
      <xdr:spPr>
        <a:xfrm>
          <a:off x="13173075" y="3324225"/>
          <a:ext cx="4829175" cy="1781176"/>
        </a:xfrm>
        <a:prstGeom prst="wedgeEllipseCallout">
          <a:avLst>
            <a:gd name="adj1" fmla="val -69732"/>
            <a:gd name="adj2" fmla="val 54967"/>
          </a:avLst>
        </a:prstGeom>
        <a:solidFill>
          <a:schemeClr val="accent6">
            <a:lumMod val="40000"/>
            <a:lumOff val="60000"/>
          </a:schemeClr>
        </a:solidFill>
        <a:effectLst>
          <a:outerShdw blurRad="660400" dist="50800" dir="5400000" sx="111000" sy="111000" algn="ctr" rotWithShape="0">
            <a:schemeClr val="tx1">
              <a:alpha val="38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/>
            <a:t>Durch die Eingaben</a:t>
          </a:r>
          <a:r>
            <a:rPr lang="de-DE" sz="2000" b="1" baseline="0"/>
            <a:t> ist dieser Abschluss wahrscheinlich möglich!</a:t>
          </a:r>
          <a:endParaRPr lang="de-DE" sz="2000" b="1"/>
        </a:p>
      </xdr:txBody>
    </xdr:sp>
    <xdr:clientData/>
  </xdr:twoCellAnchor>
  <xdr:twoCellAnchor>
    <xdr:from>
      <xdr:col>0</xdr:col>
      <xdr:colOff>35122</xdr:colOff>
      <xdr:row>1</xdr:row>
      <xdr:rowOff>332252</xdr:rowOff>
    </xdr:from>
    <xdr:to>
      <xdr:col>1</xdr:col>
      <xdr:colOff>514989</xdr:colOff>
      <xdr:row>3</xdr:row>
      <xdr:rowOff>235672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9048926D-B03B-43E8-8C85-B29C3793CCA3}"/>
            </a:ext>
          </a:extLst>
        </xdr:cNvPr>
        <xdr:cNvSpPr/>
      </xdr:nvSpPr>
      <xdr:spPr>
        <a:xfrm rot="2439546" flipV="1">
          <a:off x="35122" y="3056402"/>
          <a:ext cx="2327717" cy="970220"/>
        </a:xfrm>
        <a:prstGeom prst="rightArrow">
          <a:avLst/>
        </a:prstGeom>
        <a:solidFill>
          <a:schemeClr val="accent1">
            <a:alpha val="53000"/>
          </a:schemeClr>
        </a:solidFill>
        <a:effectLst>
          <a:outerShdw blurRad="3429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21594000" lon="21594000" rev="10800000"/>
            </a:camera>
            <a:lightRig rig="threePt" dir="t"/>
          </a:scene3d>
        </a:bodyPr>
        <a:lstStyle/>
        <a:p>
          <a:pPr algn="l"/>
          <a:r>
            <a:rPr lang="de-DE" sz="2400"/>
            <a:t>Eingaben</a:t>
          </a:r>
          <a:r>
            <a:rPr lang="de-DE" sz="2400" baseline="0"/>
            <a:t> hier!</a:t>
          </a:r>
          <a:endParaRPr lang="de-DE" sz="2400"/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3</xdr:col>
      <xdr:colOff>285749</xdr:colOff>
      <xdr:row>27</xdr:row>
      <xdr:rowOff>152400</xdr:rowOff>
    </xdr:to>
    <xdr:sp macro="" textlink="">
      <xdr:nvSpPr>
        <xdr:cNvPr id="9" name="Sprechblase: oval 8">
          <a:extLst>
            <a:ext uri="{FF2B5EF4-FFF2-40B4-BE49-F238E27FC236}">
              <a16:creationId xmlns:a16="http://schemas.microsoft.com/office/drawing/2014/main" id="{BF89E165-F98D-4772-A160-6065A017F772}"/>
            </a:ext>
          </a:extLst>
        </xdr:cNvPr>
        <xdr:cNvSpPr/>
      </xdr:nvSpPr>
      <xdr:spPr>
        <a:xfrm>
          <a:off x="0" y="21297900"/>
          <a:ext cx="3238499" cy="1590675"/>
        </a:xfrm>
        <a:prstGeom prst="wedgeEllipseCallout">
          <a:avLst>
            <a:gd name="adj1" fmla="val 68080"/>
            <a:gd name="adj2" fmla="val 680"/>
          </a:avLst>
        </a:prstGeom>
        <a:effectLst>
          <a:outerShdw blurRad="685800" dist="50800" dir="5400000" sx="101000" sy="101000" algn="ctr" rotWithShape="0">
            <a:srgbClr val="000000">
              <a:alpha val="6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600" b="1"/>
            <a:t>Die besuchten</a:t>
          </a:r>
          <a:r>
            <a:rPr lang="de-DE" sz="1600" b="1" baseline="0"/>
            <a:t> Kurse (ohne Berücksichtigung der Noten) ermöglichen einen dieser Abschlüsse!</a:t>
          </a:r>
          <a:endParaRPr lang="de-DE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tabSelected="1" topLeftCell="A2" zoomScaleNormal="100" workbookViewId="0">
      <selection activeCell="A7" sqref="A7:N7"/>
    </sheetView>
  </sheetViews>
  <sheetFormatPr baseColWidth="10" defaultColWidth="11.44140625" defaultRowHeight="14.4" x14ac:dyDescent="0.3"/>
  <cols>
    <col min="1" max="1" width="27.6640625" style="1" customWidth="1"/>
    <col min="2" max="41" width="8.33203125" style="1" customWidth="1"/>
    <col min="42" max="48" width="11.44140625" style="1"/>
    <col min="49" max="49" width="15.88671875" style="1" customWidth="1"/>
    <col min="50" max="16384" width="11.44140625" style="1"/>
  </cols>
  <sheetData>
    <row r="1" spans="1:70" ht="214.5" customHeight="1" thickTop="1" thickBot="1" x14ac:dyDescent="0.35">
      <c r="A1" s="185"/>
      <c r="B1" s="192" t="s">
        <v>9</v>
      </c>
      <c r="C1" s="193"/>
      <c r="D1" s="194" t="s">
        <v>10</v>
      </c>
      <c r="E1" s="195"/>
      <c r="F1" s="196" t="s">
        <v>11</v>
      </c>
      <c r="G1" s="197"/>
      <c r="H1" s="198" t="s">
        <v>12</v>
      </c>
      <c r="I1" s="199"/>
      <c r="J1" s="153" t="s">
        <v>41</v>
      </c>
      <c r="K1" s="154"/>
      <c r="L1" s="146" t="str">
        <f>IF(AZ3="X","Mehr als ein Prüfungsfach schlechter als Note 4!",IF(AND(N6&gt;0,AY3&gt;=1),"Wegen der eingegebenen Deutsch- und Mathekurse ist eine Teilnahme an einer zweiten Fremdsprache nicht möglich!",""))</f>
        <v/>
      </c>
      <c r="M1" s="147"/>
      <c r="N1" s="147"/>
      <c r="O1" s="148"/>
      <c r="P1" s="20" t="s">
        <v>14</v>
      </c>
      <c r="Q1" s="21" t="s">
        <v>15</v>
      </c>
      <c r="R1" s="21" t="s">
        <v>0</v>
      </c>
      <c r="S1" s="22" t="s">
        <v>1</v>
      </c>
      <c r="T1" s="23"/>
      <c r="U1" s="139"/>
      <c r="V1" s="139"/>
      <c r="W1" s="140"/>
      <c r="X1" s="24" t="s">
        <v>3</v>
      </c>
      <c r="Y1" s="25" t="s">
        <v>4</v>
      </c>
      <c r="Z1" s="26" t="s">
        <v>38</v>
      </c>
      <c r="AA1" s="26" t="s">
        <v>39</v>
      </c>
      <c r="AB1" s="23"/>
      <c r="AC1" s="23"/>
      <c r="AD1" s="23"/>
      <c r="BB1" s="1" t="s">
        <v>91</v>
      </c>
      <c r="BC1" s="1">
        <v>1</v>
      </c>
    </row>
    <row r="2" spans="1:70" s="2" customFormat="1" ht="40.5" customHeight="1" thickTop="1" thickBot="1" x14ac:dyDescent="0.35">
      <c r="A2" s="185"/>
      <c r="B2" s="12" t="s">
        <v>8</v>
      </c>
      <c r="C2" s="13" t="s">
        <v>13</v>
      </c>
      <c r="D2" s="14" t="s">
        <v>8</v>
      </c>
      <c r="E2" s="15" t="s">
        <v>13</v>
      </c>
      <c r="F2" s="16" t="s">
        <v>8</v>
      </c>
      <c r="G2" s="17" t="s">
        <v>13</v>
      </c>
      <c r="H2" s="18" t="s">
        <v>8</v>
      </c>
      <c r="I2" s="19" t="s">
        <v>13</v>
      </c>
      <c r="J2" s="155"/>
      <c r="K2" s="156"/>
      <c r="L2" s="146"/>
      <c r="M2" s="147"/>
      <c r="N2" s="147"/>
      <c r="O2" s="148"/>
      <c r="P2" s="151" t="str">
        <f>IF(SUM(R3:S3)&lt;4,"Es müssen noch Kurse eingegeben werden! Eventuell ist ein Kurs falsch eingegeben!","OK")</f>
        <v>OK</v>
      </c>
      <c r="Q2" s="149" t="str">
        <f>IF(SUM(AU3:AX3)=4,"OK","Die")</f>
        <v>OK</v>
      </c>
      <c r="R2" s="27"/>
      <c r="S2" s="28"/>
      <c r="T2" s="29"/>
      <c r="U2" s="141" t="s">
        <v>88</v>
      </c>
      <c r="V2" s="142"/>
      <c r="W2" s="142"/>
      <c r="X2" s="30">
        <f>COUNTIF(B6:M6,5)</f>
        <v>1</v>
      </c>
      <c r="Y2" s="31">
        <f>COUNTIF(B6:M6,6)</f>
        <v>0</v>
      </c>
      <c r="Z2" s="32">
        <f>COUNTIF(B6:M6,3)</f>
        <v>2</v>
      </c>
      <c r="AA2" s="33">
        <f>COUNTIF(B6:M6,"&lt;=2")</f>
        <v>5</v>
      </c>
      <c r="AB2" s="29"/>
      <c r="AC2" s="29"/>
      <c r="AD2" s="29"/>
      <c r="BB2" s="2" t="s">
        <v>93</v>
      </c>
      <c r="BC2" s="2">
        <v>2</v>
      </c>
    </row>
    <row r="3" spans="1:70" ht="43.5" customHeight="1" thickTop="1" thickBot="1" x14ac:dyDescent="0.35">
      <c r="A3" s="122"/>
      <c r="B3" s="5" t="s">
        <v>91</v>
      </c>
      <c r="C3" s="3">
        <v>4</v>
      </c>
      <c r="D3" s="4" t="s">
        <v>93</v>
      </c>
      <c r="E3" s="3">
        <v>3</v>
      </c>
      <c r="F3" s="4" t="s">
        <v>91</v>
      </c>
      <c r="G3" s="3">
        <v>3</v>
      </c>
      <c r="H3" s="4" t="s">
        <v>93</v>
      </c>
      <c r="I3" s="3">
        <v>4</v>
      </c>
      <c r="J3" s="157">
        <v>4</v>
      </c>
      <c r="K3" s="158"/>
      <c r="L3" s="146"/>
      <c r="M3" s="147"/>
      <c r="N3" s="147"/>
      <c r="O3" s="148"/>
      <c r="P3" s="152"/>
      <c r="Q3" s="150"/>
      <c r="R3" s="34">
        <f>COUNTIF($B$3:$H$3,"E")+COUNTIF($B$3:$H$3,"Z")</f>
        <v>2</v>
      </c>
      <c r="S3" s="35">
        <f>COUNTIF(B3:H3,"G")</f>
        <v>2</v>
      </c>
      <c r="T3" s="23"/>
      <c r="U3" s="36"/>
      <c r="V3" s="36"/>
      <c r="W3" s="36"/>
      <c r="X3" s="36"/>
      <c r="Y3" s="36"/>
      <c r="Z3" s="36"/>
      <c r="AA3" s="36"/>
      <c r="AB3" s="23"/>
      <c r="AC3" s="23"/>
      <c r="AD3" s="23"/>
      <c r="AQ3" s="6" t="str">
        <f>$B$3&amp;$C$3</f>
        <v>G4</v>
      </c>
      <c r="AR3" s="6" t="str">
        <f>$D$3&amp;$E$3</f>
        <v>E3</v>
      </c>
      <c r="AS3" s="6" t="str">
        <f>$F$3&amp;$G$3</f>
        <v>G3</v>
      </c>
      <c r="AT3" s="6" t="str">
        <f>$H$3&amp;$I$3</f>
        <v>E4</v>
      </c>
      <c r="AU3" s="6">
        <f>IF(AND(C3&gt;0,C3&lt;7),1,0)</f>
        <v>1</v>
      </c>
      <c r="AV3" s="6">
        <f>IF(AND(E3&gt;0,E3&lt;7),1,0)</f>
        <v>1</v>
      </c>
      <c r="AW3" s="6">
        <f>IF(AND(G3&gt;0,G3&lt;7),1,0)</f>
        <v>1</v>
      </c>
      <c r="AX3" s="6">
        <f>IF(AND(I3&gt;0,I3&lt;7),1,0)</f>
        <v>1</v>
      </c>
      <c r="AY3" s="6">
        <f>IF(B3="G",1,IF(F3="G",1,0))</f>
        <v>1</v>
      </c>
      <c r="AZ3" s="1" t="str">
        <f>IF(AND(J3&gt;4,OR(G3&gt;4,E3&gt;4,C3&gt;4)),"X","OK")</f>
        <v>OK</v>
      </c>
      <c r="BA3" s="1">
        <f>IF(OR(C3="",E3="",G3="",I3=""),"",C3+E3+G3+I3)</f>
        <v>14</v>
      </c>
      <c r="BB3" s="1" t="s">
        <v>92</v>
      </c>
      <c r="BC3" s="1">
        <v>3</v>
      </c>
    </row>
    <row r="4" spans="1:70" ht="30.75" customHeight="1" thickTop="1" thickBot="1" x14ac:dyDescent="0.35">
      <c r="A4" s="37"/>
      <c r="B4" s="143" t="s">
        <v>87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BC4" s="1">
        <v>4</v>
      </c>
    </row>
    <row r="5" spans="1:70" ht="167.25" customHeight="1" thickBot="1" x14ac:dyDescent="0.35">
      <c r="A5" s="38" t="s">
        <v>90</v>
      </c>
      <c r="B5" s="39" t="s">
        <v>58</v>
      </c>
      <c r="C5" s="40" t="s">
        <v>59</v>
      </c>
      <c r="D5" s="40" t="s">
        <v>60</v>
      </c>
      <c r="E5" s="40" t="s">
        <v>61</v>
      </c>
      <c r="F5" s="40" t="s">
        <v>62</v>
      </c>
      <c r="G5" s="41" t="s">
        <v>63</v>
      </c>
      <c r="H5" s="40" t="s">
        <v>64</v>
      </c>
      <c r="I5" s="40" t="s">
        <v>65</v>
      </c>
      <c r="J5" s="40" t="s">
        <v>75</v>
      </c>
      <c r="K5" s="40" t="s">
        <v>66</v>
      </c>
      <c r="L5" s="40" t="s">
        <v>102</v>
      </c>
      <c r="M5" s="42" t="s">
        <v>103</v>
      </c>
      <c r="N5" s="43" t="s">
        <v>16</v>
      </c>
      <c r="O5" s="23"/>
      <c r="P5" s="189" t="str">
        <f>IF(BA3&lt;4,"",IF(BA3="","",AS19))</f>
        <v>Sekundarabschluss I - Realschulabschluss</v>
      </c>
      <c r="Q5" s="190"/>
      <c r="R5" s="190"/>
      <c r="S5" s="190"/>
      <c r="T5" s="190"/>
      <c r="U5" s="190"/>
      <c r="V5" s="190"/>
      <c r="W5" s="190"/>
      <c r="X5" s="191"/>
      <c r="Y5" s="23"/>
      <c r="Z5" s="23"/>
      <c r="AA5" s="23"/>
      <c r="AB5" s="23"/>
      <c r="AC5" s="23"/>
      <c r="AD5" s="23"/>
      <c r="AQ5" s="133" t="s">
        <v>96</v>
      </c>
      <c r="AR5" s="133" t="s">
        <v>98</v>
      </c>
      <c r="AS5" s="133" t="s">
        <v>99</v>
      </c>
      <c r="BC5" s="1">
        <v>5</v>
      </c>
      <c r="BJ5" s="133" t="s">
        <v>95</v>
      </c>
      <c r="BK5" s="133" t="s">
        <v>97</v>
      </c>
      <c r="BL5" s="7"/>
    </row>
    <row r="6" spans="1:70" s="7" customFormat="1" ht="45" customHeight="1" thickBot="1" x14ac:dyDescent="0.35">
      <c r="A6" s="44">
        <f>IF(BL6&lt;=3,BL6,AS6)</f>
        <v>3.08</v>
      </c>
      <c r="B6" s="123">
        <v>2</v>
      </c>
      <c r="C6" s="124">
        <v>2</v>
      </c>
      <c r="D6" s="124">
        <v>3</v>
      </c>
      <c r="E6" s="124">
        <v>5</v>
      </c>
      <c r="F6" s="124">
        <v>2</v>
      </c>
      <c r="G6" s="124">
        <v>2</v>
      </c>
      <c r="H6" s="124">
        <v>2</v>
      </c>
      <c r="I6" s="124">
        <v>4</v>
      </c>
      <c r="J6" s="124">
        <v>3</v>
      </c>
      <c r="K6" s="124">
        <v>4</v>
      </c>
      <c r="L6" s="124">
        <v>4</v>
      </c>
      <c r="M6" s="125">
        <v>4</v>
      </c>
      <c r="N6" s="126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Q6" s="134">
        <f>IF(BL6&lt;=3,BJ6,IF(AND(BL6&gt;3,BQ14=0),BJ6,IF(AND(BQ14=1,BL6&gt;3),BJ6+1,IF(AND(BL6&gt;3,BQ14&gt;1),BJ6+2))))</f>
        <v>12</v>
      </c>
      <c r="AR6" s="134">
        <f>IF(BQ14=0,BK6,IF(BQ14=1,BK6+BR15,IF(BQ14&gt;1,BK6+BR15+BR16)))</f>
        <v>37</v>
      </c>
      <c r="AS6" s="134">
        <f>IF(AQ6=0,0,ROUND(AR6/AQ6,2))</f>
        <v>3.08</v>
      </c>
      <c r="BC6" s="7">
        <v>6</v>
      </c>
      <c r="BJ6" s="134">
        <f>COUNTIF(B6:N6,"&gt;0")</f>
        <v>12</v>
      </c>
      <c r="BK6" s="134">
        <f>SUM(B6:N6)</f>
        <v>37</v>
      </c>
      <c r="BL6" s="7">
        <f>IF(BJ6=0,0,ROUND(BK6/BJ6,2))</f>
        <v>3.08</v>
      </c>
    </row>
    <row r="7" spans="1:70" s="7" customFormat="1" ht="45" customHeight="1" x14ac:dyDescent="0.3">
      <c r="A7" s="202" t="str">
        <f>IF(AND(BQ14&gt;0,BL6&gt;3),"Es wurde(n) "&amp;BR14&amp;" E-Kursnote(n) bei der Durchschnittsberechnung berücksichtigt!","")</f>
        <v/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Q7" s="134"/>
      <c r="AR7" s="134"/>
      <c r="AS7" s="134"/>
      <c r="BJ7" s="134"/>
      <c r="BK7" s="134"/>
    </row>
    <row r="8" spans="1:70" s="7" customFormat="1" ht="21.75" customHeight="1" thickBot="1" x14ac:dyDescent="0.35">
      <c r="A8" s="45"/>
      <c r="B8" s="45"/>
      <c r="C8" s="45"/>
      <c r="D8" s="45"/>
      <c r="E8" s="45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70" s="7" customFormat="1" ht="45" customHeight="1" thickBot="1" x14ac:dyDescent="0.35">
      <c r="A9" s="47"/>
      <c r="B9" s="45"/>
      <c r="C9" s="45"/>
      <c r="D9" s="186" t="s">
        <v>37</v>
      </c>
      <c r="E9" s="187"/>
      <c r="F9" s="187"/>
      <c r="G9" s="187"/>
      <c r="H9" s="187"/>
      <c r="I9" s="187"/>
      <c r="J9" s="187"/>
      <c r="K9" s="187"/>
      <c r="L9" s="188"/>
      <c r="M9" s="168" t="s">
        <v>36</v>
      </c>
      <c r="N9" s="169"/>
      <c r="O9" s="169"/>
      <c r="P9" s="169"/>
      <c r="Q9" s="169"/>
      <c r="R9" s="169"/>
      <c r="S9" s="169"/>
      <c r="T9" s="169"/>
      <c r="U9" s="169"/>
      <c r="V9" s="169"/>
      <c r="W9" s="48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BL9" s="136"/>
    </row>
    <row r="10" spans="1:70" s="7" customFormat="1" ht="131.25" customHeight="1" x14ac:dyDescent="0.3">
      <c r="A10" s="179" t="s">
        <v>5</v>
      </c>
      <c r="B10" s="180"/>
      <c r="C10" s="49" t="s">
        <v>21</v>
      </c>
      <c r="D10" s="50" t="s">
        <v>23</v>
      </c>
      <c r="E10" s="51" t="s">
        <v>42</v>
      </c>
      <c r="F10" s="51" t="s">
        <v>28</v>
      </c>
      <c r="G10" s="51" t="s">
        <v>29</v>
      </c>
      <c r="H10" s="51" t="s">
        <v>30</v>
      </c>
      <c r="I10" s="51" t="s">
        <v>31</v>
      </c>
      <c r="J10" s="51" t="s">
        <v>32</v>
      </c>
      <c r="K10" s="51" t="s">
        <v>26</v>
      </c>
      <c r="L10" s="52" t="s">
        <v>25</v>
      </c>
      <c r="M10" s="50" t="s">
        <v>31</v>
      </c>
      <c r="N10" s="51" t="s">
        <v>29</v>
      </c>
      <c r="O10" s="51" t="s">
        <v>25</v>
      </c>
      <c r="P10" s="51" t="s">
        <v>26</v>
      </c>
      <c r="Q10" s="51" t="s">
        <v>27</v>
      </c>
      <c r="R10" s="51" t="s">
        <v>23</v>
      </c>
      <c r="S10" s="51" t="str">
        <f>$X$1</f>
        <v>Note 5 in allen anderen Fächern:</v>
      </c>
      <c r="T10" s="51" t="str">
        <f>$Y$1</f>
        <v>Note 6 in allen anderen Fächern:</v>
      </c>
      <c r="U10" s="51" t="s">
        <v>34</v>
      </c>
      <c r="V10" s="52" t="s">
        <v>35</v>
      </c>
      <c r="W10" s="53" t="s">
        <v>40</v>
      </c>
      <c r="X10" s="53" t="s">
        <v>79</v>
      </c>
      <c r="Y10" s="51" t="s">
        <v>78</v>
      </c>
      <c r="Z10" s="51" t="s">
        <v>76</v>
      </c>
      <c r="AA10" s="52" t="s">
        <v>77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S10" s="6" t="str">
        <f>$B$3&amp;$C$3</f>
        <v>G4</v>
      </c>
      <c r="AT10" s="6" t="str">
        <f>$D$3&amp;$E$3</f>
        <v>E3</v>
      </c>
      <c r="AU10" s="6" t="str">
        <f>$F$3&amp;$G$3</f>
        <v>G3</v>
      </c>
      <c r="AV10" s="6" t="str">
        <f>$H$3&amp;$I$3</f>
        <v>E4</v>
      </c>
      <c r="BF10" s="135"/>
      <c r="BG10" s="128"/>
      <c r="BH10" s="128"/>
      <c r="BI10" s="128"/>
      <c r="BJ10" s="128"/>
      <c r="BL10" s="136"/>
    </row>
    <row r="11" spans="1:70" s="7" customFormat="1" ht="45" customHeight="1" x14ac:dyDescent="0.3">
      <c r="A11" s="181"/>
      <c r="B11" s="182"/>
      <c r="C11" s="54" t="str">
        <f>IF(BA3&lt;5,0,IF(COUNTIF($B$3:$H$3,"Z")&gt;0,"Ja!","Nein"))</f>
        <v>Nein</v>
      </c>
      <c r="D11" s="55">
        <f>COUNTIF($AQ$3:$AS$3,"G2")+COUNTIF($AQ3:$AS3,"G1")+COUNTIF($AQ3:$AS3,"e3")+COUNTIF($AQ3:$AS3,"e2")+COUNTIF($AQ3:$AS3,"e1")+COUNTIF($AQ3:$AS3,"z4")+COUNTIF($AQ3:$AS3,"z3")+COUNTIF($AQ3:$AS3,"z2")+COUNTIF($AQ3:$AS3,"z1")+COUNTIF(N6,"&lt;3")</f>
        <v>1</v>
      </c>
      <c r="E11" s="56">
        <f>COUNTIF($AQ$3:$AS$3,"G3")+COUNTIF($AQ$3:$AS$3,"e4")+COUNTIF(N6,3)</f>
        <v>1</v>
      </c>
      <c r="F11" s="56">
        <f>COUNTIF($AQ$3:$AS$3,"G4")</f>
        <v>1</v>
      </c>
      <c r="G11" s="56">
        <f>COUNTIF($AQ$3:$AS$3,"G5")+COUNTIF($AQ$3:$AS$3,"E6")</f>
        <v>0</v>
      </c>
      <c r="H11" s="56">
        <f>IF(G11&gt;1,"Nein",IF(G11=0,0,IF(AW11&lt;54,"Ja",IF(AX11&lt;54,"Ja",IF(AY11&lt;54,"Ja","Nein")))))</f>
        <v>0</v>
      </c>
      <c r="I11" s="56">
        <f>COUNTIF($AQ$3:$AS$3,"G6")</f>
        <v>0</v>
      </c>
      <c r="J11" s="56">
        <f>IF(I11=0,0,IF(AW11&lt;53,"Ja",IF(AX11&lt;53,"Ja",IF(AY11&lt;53,"Ja",IF(AND(AW11&lt;54,AX11&lt;54),"Ja",IF(AND(AW11&lt;54,AY11&lt;54),"Ja",IF(AND(AX11&lt;54,AY11&lt;54),"Ja","Nein")))))))</f>
        <v>0</v>
      </c>
      <c r="K11" s="56">
        <f>COUNTIF($AQ$3:$AS$3,"E5")</f>
        <v>0</v>
      </c>
      <c r="L11" s="57">
        <f>COUNTIF($AQ$3:$AS$3,"E6")</f>
        <v>0</v>
      </c>
      <c r="M11" s="55">
        <f>COUNTIF($AT$3,"G6")</f>
        <v>0</v>
      </c>
      <c r="N11" s="58">
        <f>COUNTIF($AT$3,"G5")+COUNTIF($AT$3,"E6")</f>
        <v>0</v>
      </c>
      <c r="O11" s="56">
        <f>COUNTIF($AT$3,"E6")</f>
        <v>0</v>
      </c>
      <c r="P11" s="56">
        <f>COUNTIF($AT$3,"E5")</f>
        <v>0</v>
      </c>
      <c r="Q11" s="56">
        <f>COUNTIF($AT$3,"G3")+COUNTIF($AT$3,"e2")</f>
        <v>0</v>
      </c>
      <c r="R11" s="56">
        <f>COUNTIF($AT$3,"G2")+COUNTIF($AT$3,"G1")+COUNTIF($AT$3,"e3")</f>
        <v>0</v>
      </c>
      <c r="S11" s="58">
        <f>$X$2</f>
        <v>1</v>
      </c>
      <c r="T11" s="56">
        <f>$Y$2</f>
        <v>0</v>
      </c>
      <c r="U11" s="56">
        <f>Z2</f>
        <v>2</v>
      </c>
      <c r="V11" s="57">
        <f>AA2</f>
        <v>5</v>
      </c>
      <c r="W11" s="59">
        <f>U11+V11+R11+E11+D11</f>
        <v>9</v>
      </c>
      <c r="X11" s="59">
        <f>D13+E13</f>
        <v>3</v>
      </c>
      <c r="Y11" s="56">
        <f>Q13+R13+U13+V13</f>
        <v>8</v>
      </c>
      <c r="Z11" s="56">
        <f>G13+I13</f>
        <v>0</v>
      </c>
      <c r="AA11" s="60">
        <f>M13+N13+S13+T13</f>
        <v>1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S11" s="8" t="str">
        <f>IF(AQ3="e5",54,IF(AQ3="e6",55,IF($B$3="Z",1,IF($B$3="E",3,IF($B$3="G",5,"-")))&amp;$C$3))</f>
        <v>54</v>
      </c>
      <c r="AT11" s="9" t="str">
        <f>IF(AR3="e5",54,IF(AR3="e6",55,IF($D$3="Z",1,IF($D$3="E",3,IF($D$3="G",5,"-")))&amp;$E$3))</f>
        <v>33</v>
      </c>
      <c r="AU11" s="9" t="str">
        <f>IF(AS3="e5",54,IF(AS3="e6",55,IF($F$3="Z",1,IF($F$3="E",3,IF($F$3="G",5,"-")))&amp;$G$3))</f>
        <v>53</v>
      </c>
      <c r="AV11" s="9" t="str">
        <f>IF($H$3="Z",1,IF($H$3="E",3,IF($H$3="G",5,"-")))&amp;$I$3</f>
        <v>34</v>
      </c>
      <c r="AW11" s="8">
        <f>AS11+0</f>
        <v>54</v>
      </c>
      <c r="AX11" s="8">
        <f t="shared" ref="AX11:AY11" si="0">AT11+0</f>
        <v>33</v>
      </c>
      <c r="AY11" s="8">
        <f t="shared" si="0"/>
        <v>53</v>
      </c>
      <c r="BB11" s="135"/>
      <c r="BL11" s="136"/>
      <c r="BM11" s="127" t="str">
        <f>AS10</f>
        <v>G4</v>
      </c>
      <c r="BN11" s="127" t="str">
        <f t="shared" ref="BN11:BP11" si="1">AT10</f>
        <v>E3</v>
      </c>
      <c r="BO11" s="127" t="str">
        <f t="shared" si="1"/>
        <v>G3</v>
      </c>
      <c r="BP11" s="127" t="str">
        <f t="shared" si="1"/>
        <v>E4</v>
      </c>
    </row>
    <row r="12" spans="1:70" s="6" customFormat="1" ht="30" customHeight="1" x14ac:dyDescent="0.3">
      <c r="A12" s="181"/>
      <c r="B12" s="182"/>
      <c r="C12" s="61" t="str">
        <f>IF(C11="Ja!","Um-kursen!","OK")</f>
        <v>OK</v>
      </c>
      <c r="D12" s="62" t="s">
        <v>2</v>
      </c>
      <c r="E12" s="63" t="s">
        <v>2</v>
      </c>
      <c r="F12" s="63" t="s">
        <v>2</v>
      </c>
      <c r="G12" s="63" t="str">
        <f>IF(Z11&lt;=1,"OK",IF(Z11&gt;2,"X",IF(G11=0,"OK",IF(AND(G11=1,H11="Ja"),"Aus-gleich !",IF(AND(G11&gt;0,G11&lt;2,S11&lt;=1,H11="Ja"),"Aus-gleich !","X")))))</f>
        <v>OK</v>
      </c>
      <c r="H12" s="63" t="str">
        <f>IF(G12="OK","OK",IF(G12="X","X",IF(AND(H11="Ja",G11=1),"Aus-gleich !",IF(G11&lt;1,"X",IF(AND(G11=1,H11="Nein"),"X",IF(G11=1,"Aus-gleich?","OK"))))))</f>
        <v>OK</v>
      </c>
      <c r="I12" s="63" t="str">
        <f>IF(I11=0,"OK",IF(Z12="X","X",IF(AND(J11="JA",I11&lt;2),"Aus-gleich !","X")))</f>
        <v>OK</v>
      </c>
      <c r="J12" s="63" t="str">
        <f>IF(I12="X","X",IF(AND(I11=1,J11="Ja"),"Aus-gleich !","OK"))</f>
        <v>OK</v>
      </c>
      <c r="K12" s="63" t="str">
        <f>IF(K11&gt;0,"Um-kursen!","OK")</f>
        <v>OK</v>
      </c>
      <c r="L12" s="64" t="str">
        <f>IF(L11&gt;0,"Um-kursen!","OK")</f>
        <v>OK</v>
      </c>
      <c r="M12" s="62" t="str">
        <f>IF(M11=0,"OK",IF(Z12="X","X",IF(AND(#REF!&gt;M11,M11&gt;0),"Aus-gleich !","OK")))</f>
        <v>OK</v>
      </c>
      <c r="N12" s="63" t="str">
        <f>IF($N$11=0,"OK",IF(Z11=1,"OK",IF($Z$12="X","X",IF(AND($Z$11&gt;1,$X$11+$Y$11&gt;=$Z$11),"Aus-gleich !","X"))))</f>
        <v>OK</v>
      </c>
      <c r="O12" s="63" t="str">
        <f>IF(O11&gt;0,"Um-kursen!","OK")</f>
        <v>OK</v>
      </c>
      <c r="P12" s="63" t="str">
        <f>IF(P11&gt;0,"Um-kursen!","OK")</f>
        <v>OK</v>
      </c>
      <c r="Q12" s="63" t="s">
        <v>2</v>
      </c>
      <c r="R12" s="63" t="s">
        <v>2</v>
      </c>
      <c r="S12" s="63" t="str">
        <f>IF($S$11=0,"OK",IF(Z12="OK","OK",IF($Z$12="X","X",IF(AND($Z$11&gt;1,$X$11+$Y$11&gt;=$Z$11),"Aus-gleich !","X"))))</f>
        <v>OK</v>
      </c>
      <c r="T12" s="63" t="str">
        <f>IF($T$11=0,"OK",IF($Z$12="OK","OK",IF($Z$12="X","X",IF(AND($Z$12="Aus-gleich?",$Z$11&gt;1,$X$11+$Y$11&gt;=$Z$11),"Aus-gleich !","X"))))</f>
        <v>OK</v>
      </c>
      <c r="U12" s="63" t="s">
        <v>2</v>
      </c>
      <c r="V12" s="64" t="s">
        <v>2</v>
      </c>
      <c r="W12" s="65" t="s">
        <v>2</v>
      </c>
      <c r="X12" s="65" t="s">
        <v>2</v>
      </c>
      <c r="Y12" s="63" t="s">
        <v>2</v>
      </c>
      <c r="Z12" s="63" t="str">
        <f>IF(G11&gt;1,"X",IF(Z11=0,"OK",IF(Z11+AA11&lt;=1,"OK",IF(AND(Z11&lt;=X11,Z11+AA11=2),"Aus-gleich?","X"))))</f>
        <v>OK</v>
      </c>
      <c r="AA12" s="64" t="str">
        <f>IF(Z12="X","X",IF(AA11+Z11&lt;=1,"OK",IF(AND(Z11&lt;=Y11,AA11+Z11=2),"Aus-gleich?","X")))</f>
        <v>OK</v>
      </c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S12" s="6">
        <f>COUNTIF(C12:AA12,"X")+COUNTIF(AZ3,"X")</f>
        <v>0</v>
      </c>
      <c r="AT12" s="6">
        <f>COUNTIF(C12:Z12,"Aus-gleich !")+COUNTIF(C12:Z12,"Ausgleich !")</f>
        <v>0</v>
      </c>
      <c r="AU12" s="6">
        <f>COUNTIF(D12:AS12,"Aus-gleich?")</f>
        <v>0</v>
      </c>
      <c r="BJ12" s="200" t="s">
        <v>94</v>
      </c>
      <c r="BK12" s="200"/>
      <c r="BL12" s="200"/>
      <c r="BM12" s="7">
        <v>33</v>
      </c>
      <c r="BN12" s="7">
        <v>33</v>
      </c>
      <c r="BO12" s="7">
        <v>33</v>
      </c>
      <c r="BP12" s="7">
        <v>33</v>
      </c>
      <c r="BQ12" s="7"/>
    </row>
    <row r="13" spans="1:70" s="6" customFormat="1" ht="30" customHeight="1" thickBot="1" x14ac:dyDescent="0.35">
      <c r="A13" s="183"/>
      <c r="B13" s="184"/>
      <c r="C13" s="67"/>
      <c r="D13" s="68">
        <f>IF(D11=0,0,IF(D11=1,2,IF(D11=2,4,6)))</f>
        <v>2</v>
      </c>
      <c r="E13" s="68">
        <f>IF(E11=0,0,IF(E11=1,1,IF(E11=2,2,3)))</f>
        <v>1</v>
      </c>
      <c r="F13" s="69" t="s">
        <v>89</v>
      </c>
      <c r="G13" s="68">
        <f>IF(G11=0,0,IF(G11=1,1,IF(G11=2,2,3)))</f>
        <v>0</v>
      </c>
      <c r="H13" s="68" t="str">
        <f>IF(H12="X","kein HS-Abschl.","")</f>
        <v/>
      </c>
      <c r="I13" s="68">
        <f>IF(I11=0,0,IF(I11=1,2,IF(I11=2,4,6)))</f>
        <v>0</v>
      </c>
      <c r="J13" s="68" t="str">
        <f>IF(J12="X","kein HS-Abschl.","")</f>
        <v/>
      </c>
      <c r="K13" s="70"/>
      <c r="L13" s="71"/>
      <c r="M13" s="72">
        <f>IF(M11=0,0,IF(M11=1,2,IF(M11=2,4,6)))</f>
        <v>0</v>
      </c>
      <c r="N13" s="68">
        <f>IF(N11=0,0,IF(N11=1,1,IF(N11=2,2,3)))</f>
        <v>0</v>
      </c>
      <c r="O13" s="73"/>
      <c r="P13" s="73"/>
      <c r="Q13" s="68">
        <f>IF(Q11=0,0,IF(Q11=1,1,IF(Q11=2,2,3)))</f>
        <v>0</v>
      </c>
      <c r="R13" s="68">
        <f>IF(R11=0,0,IF(R11=1,2,IF(R11=2,4,6)))</f>
        <v>0</v>
      </c>
      <c r="S13" s="68">
        <f>IF(S11=0,0,IF(S11=1,1,IF(S11=2,2,3)))</f>
        <v>1</v>
      </c>
      <c r="T13" s="68">
        <f>IF(T11=0,0,IF(T11=1,2,IF(T11=2,4,6)))</f>
        <v>0</v>
      </c>
      <c r="U13" s="68">
        <f>IF(U11=0,0,IF(U11=1,1,IF(U11=2,2,3)))</f>
        <v>2</v>
      </c>
      <c r="V13" s="74">
        <f>IF(V11=0,0,IF(V11=1,2,IF(V11=2,4,6)))</f>
        <v>6</v>
      </c>
      <c r="W13" s="75"/>
      <c r="X13" s="73"/>
      <c r="Y13" s="73"/>
      <c r="Z13" s="73"/>
      <c r="AA13" s="7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BJ13" s="201" t="s">
        <v>101</v>
      </c>
      <c r="BK13" s="201"/>
      <c r="BL13" s="201"/>
      <c r="BM13" s="129">
        <f>_xlfn.NUMBERVALUE(AS11)</f>
        <v>54</v>
      </c>
      <c r="BN13" s="129">
        <f t="shared" ref="BN13:BP13" si="2">_xlfn.NUMBERVALUE(AT11)</f>
        <v>33</v>
      </c>
      <c r="BO13" s="129">
        <f t="shared" si="2"/>
        <v>53</v>
      </c>
      <c r="BP13" s="129">
        <f t="shared" si="2"/>
        <v>34</v>
      </c>
      <c r="BQ13" s="7"/>
    </row>
    <row r="14" spans="1:70" s="6" customFormat="1" ht="45" customHeight="1" thickBot="1" x14ac:dyDescent="0.35">
      <c r="A14" s="77"/>
      <c r="B14" s="77"/>
      <c r="C14" s="78"/>
      <c r="D14" s="66"/>
      <c r="E14" s="186" t="s">
        <v>37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  <c r="T14" s="168" t="s">
        <v>36</v>
      </c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70"/>
      <c r="AI14" s="66"/>
      <c r="AJ14" s="66"/>
      <c r="AK14" s="66"/>
      <c r="AL14" s="66"/>
      <c r="AM14" s="66"/>
      <c r="BJ14" s="7"/>
      <c r="BK14" s="7"/>
      <c r="BL14" s="7"/>
      <c r="BM14" s="131">
        <f>IF(BM12&gt;BM13,BM12-BM13,0)</f>
        <v>0</v>
      </c>
      <c r="BN14" s="131">
        <f t="shared" ref="BN14:BP14" si="3">IF(BN12&gt;BN13,BN12-BN13,0)</f>
        <v>0</v>
      </c>
      <c r="BO14" s="131">
        <f t="shared" si="3"/>
        <v>0</v>
      </c>
      <c r="BP14" s="131">
        <f t="shared" si="3"/>
        <v>0</v>
      </c>
      <c r="BQ14" s="131">
        <f>SUM(BM14:BP14)</f>
        <v>0</v>
      </c>
      <c r="BR14" s="6">
        <f>COUNTIF(BR15:BR16,"&gt;0")</f>
        <v>0</v>
      </c>
    </row>
    <row r="15" spans="1:70" ht="131.25" customHeight="1" x14ac:dyDescent="0.3">
      <c r="A15" s="173" t="s">
        <v>73</v>
      </c>
      <c r="B15" s="174"/>
      <c r="C15" s="79" t="s">
        <v>21</v>
      </c>
      <c r="D15" s="80" t="s">
        <v>7</v>
      </c>
      <c r="E15" s="81" t="s">
        <v>49</v>
      </c>
      <c r="F15" s="82" t="s">
        <v>50</v>
      </c>
      <c r="G15" s="82" t="s">
        <v>22</v>
      </c>
      <c r="H15" s="82" t="s">
        <v>51</v>
      </c>
      <c r="I15" s="82" t="s">
        <v>54</v>
      </c>
      <c r="J15" s="82" t="s">
        <v>52</v>
      </c>
      <c r="K15" s="82" t="s">
        <v>53</v>
      </c>
      <c r="L15" s="82" t="s">
        <v>46</v>
      </c>
      <c r="M15" s="82" t="s">
        <v>44</v>
      </c>
      <c r="N15" s="82" t="s">
        <v>27</v>
      </c>
      <c r="O15" s="82" t="s">
        <v>24</v>
      </c>
      <c r="P15" s="82" t="s">
        <v>43</v>
      </c>
      <c r="Q15" s="82" t="s">
        <v>33</v>
      </c>
      <c r="R15" s="82" t="s">
        <v>30</v>
      </c>
      <c r="S15" s="80" t="s">
        <v>31</v>
      </c>
      <c r="T15" s="79" t="s">
        <v>31</v>
      </c>
      <c r="U15" s="82" t="s">
        <v>33</v>
      </c>
      <c r="V15" s="82" t="s">
        <v>24</v>
      </c>
      <c r="W15" s="82" t="s">
        <v>25</v>
      </c>
      <c r="X15" s="82" t="s">
        <v>26</v>
      </c>
      <c r="Y15" s="82" t="s">
        <v>46</v>
      </c>
      <c r="Z15" s="82" t="s">
        <v>44</v>
      </c>
      <c r="AA15" s="82" t="s">
        <v>48</v>
      </c>
      <c r="AB15" s="82" t="s">
        <v>47</v>
      </c>
      <c r="AC15" s="82" t="s">
        <v>45</v>
      </c>
      <c r="AD15" s="82" t="str">
        <f>$X$1</f>
        <v>Note 5 in allen anderen Fächern:</v>
      </c>
      <c r="AE15" s="82" t="str">
        <f>$Y$1</f>
        <v>Note 6 in allen anderen Fächern:</v>
      </c>
      <c r="AF15" s="82" t="s">
        <v>57</v>
      </c>
      <c r="AG15" s="82" t="s">
        <v>56</v>
      </c>
      <c r="AH15" s="80" t="s">
        <v>55</v>
      </c>
      <c r="AI15" s="81" t="s">
        <v>79</v>
      </c>
      <c r="AJ15" s="82" t="s">
        <v>80</v>
      </c>
      <c r="AK15" s="82" t="s">
        <v>81</v>
      </c>
      <c r="AL15" s="83" t="s">
        <v>82</v>
      </c>
      <c r="AM15" s="23"/>
      <c r="AS15" s="6" t="str">
        <f>$B$3&amp;$C$3</f>
        <v>G4</v>
      </c>
      <c r="AT15" s="6" t="str">
        <f>$D$3&amp;$E$3</f>
        <v>E3</v>
      </c>
      <c r="AU15" s="6" t="str">
        <f>$F$3&amp;$G$3</f>
        <v>G3</v>
      </c>
      <c r="AV15" s="6" t="str">
        <f>$H$3&amp;$I$3</f>
        <v>E4</v>
      </c>
      <c r="BL15" s="130" t="s">
        <v>100</v>
      </c>
      <c r="BM15" s="132" t="str">
        <f>IF(BM14&gt;0,_xlfn.NUMBERVALUE(RIGHT(BM13)),"")</f>
        <v/>
      </c>
      <c r="BN15" s="132" t="str">
        <f>IF(BN14&gt;0,_xlfn.NUMBERVALUE(RIGHT(BN13)),"")</f>
        <v/>
      </c>
      <c r="BO15" s="132" t="str">
        <f>IF(BO14&gt;0,_xlfn.NUMBERVALUE(RIGHT(BO13)),"")</f>
        <v/>
      </c>
      <c r="BP15" s="132" t="str">
        <f>IF(BP14&gt;0,_xlfn.NUMBERVALUE(RIGHT(BP13)),"")</f>
        <v/>
      </c>
      <c r="BQ15" s="137"/>
      <c r="BR15" s="7">
        <f>IF(BQ14=0,0,SMALL($BM$15:$BP$15,1))</f>
        <v>0</v>
      </c>
    </row>
    <row r="16" spans="1:70" ht="31.2" x14ac:dyDescent="0.3">
      <c r="A16" s="175"/>
      <c r="B16" s="176"/>
      <c r="C16" s="55" t="str">
        <f>IF(BA3&lt;5,0,IF(COUNTIF($B$3:$H$3,"Z")&gt;0,"Ja!","Nein"))</f>
        <v>Nein</v>
      </c>
      <c r="D16" s="84">
        <f>COUNTIF($AQ$3:$AT$3,"E1")+COUNTIF($AQ$3:$AT$3,"E2")+COUNTIF($AQ$3:$AT$3,"E3")+COUNTIF($AQ$3:$AT$3,"e4")+COUNTIF($AQ$3:$AT$3,"e5")+COUNTIF($AQ$3:$AT$3,"e6")+COUNTIF($AQ$3:$AT$3,"Z1")+COUNTIF($AQ$3:$AT$3,"z2")+COUNTIF($AQ$3:$AT$3,"Z3")+COUNTIF($AQ$3:$AT$3,"Z4")+COUNTIF($AQ$3:$AT$3,"z5")+COUNTIF($AQ$3:$AT$3,"Z6")</f>
        <v>2</v>
      </c>
      <c r="E16" s="85">
        <f>COUNTIF($AQ$3:$AS$3,"E1")+COUNTIF($AQ$3:$AS$3,"E2")+COUNTIF($AQ$3:$AS$3,"Z1")+COUNTIF($AQ$3:$AS$3,"Z2")+COUNTIF($AQ$3:$AS$3,"Z3")+COUNTIF(N6,2)+COUNTIF(N6,1)</f>
        <v>0</v>
      </c>
      <c r="F16" s="86">
        <f>COUNTIF($AQ$3:$AS$3,"E3")+COUNTIF($AQ$3:$AS$3,"Z4")+COUNTIF(N6,3)</f>
        <v>1</v>
      </c>
      <c r="G16" s="86">
        <f>COUNTIF($AQ$3:$AS$3,"E4")+COUNTIF($AQ$3:$AS$3,"Z5")</f>
        <v>0</v>
      </c>
      <c r="H16" s="86">
        <f>COUNTIF($AQ$3:$AS$3,"E5")+COUNTIF($AQ$3:$AS$3,"Z6")+COUNTIF(N6,5)</f>
        <v>0</v>
      </c>
      <c r="I16" s="86">
        <f>IF(H16=0,0,IF(AND(N6&gt;0,N6&lt;4),"Ja",IF(OR($AS$16&lt;34,$AT$16&lt;34,$AU$16&lt;34),"Ja","Nein")))</f>
        <v>0</v>
      </c>
      <c r="J16" s="86">
        <f>COUNTIF($AQ$3:$AS$3,"E6")+COUNTIF(N6,6)</f>
        <v>0</v>
      </c>
      <c r="K16" s="86">
        <f>IF(J16=0,0,IF(AND(N6&gt;0,N6&lt;3),"Ja",IF(OR($AS$16&lt;33,$AT$16&lt;33,$AU$16&lt;33),"Ja",IF(OR(AND(AS16&lt;34,AT16&lt;34),AND(AS16&lt;34,AU16&lt;34),AND(AT16&lt;34,AU16&lt;34)),"Ja","Nein"))))</f>
        <v>0</v>
      </c>
      <c r="L16" s="86">
        <f>COUNTIF($AQ$3:$AS$3,"G1")</f>
        <v>0</v>
      </c>
      <c r="M16" s="86">
        <f>COUNTIF($AQ$3:$AS$3,"G2")</f>
        <v>0</v>
      </c>
      <c r="N16" s="86">
        <f>COUNTIF($AQ$3:$AS$3,"G3")</f>
        <v>1</v>
      </c>
      <c r="O16" s="86">
        <f>COUNTIF($AQ$3:$AS$3,"G4")</f>
        <v>1</v>
      </c>
      <c r="P16" s="86">
        <f>IF(O16=0,0,COUNTIF(AW11,"&lt;53")+COUNTIF(AX11,"&lt;53")+COUNTIF(AY11,"&lt;53"))</f>
        <v>1</v>
      </c>
      <c r="Q16" s="86">
        <f>COUNTIF($AQ$3:$AS$3,"G5")</f>
        <v>0</v>
      </c>
      <c r="R16" s="86">
        <f>IF(Q16=0,0,IF(AND(N6&gt;0,N6&lt;4),"Ja",IF(AS16&lt;34,"Ja",IF(AT16&lt;34,"Ja",IF(AU16&lt;34,"Ja","Nein")))))</f>
        <v>0</v>
      </c>
      <c r="S16" s="84">
        <f>COUNTIF($AQ$3:$AS$3,"G6")</f>
        <v>0</v>
      </c>
      <c r="T16" s="87">
        <f>COUNTIF($AT$3,"G6")</f>
        <v>0</v>
      </c>
      <c r="U16" s="86">
        <f>COUNTIF($AT$3,"G5")</f>
        <v>0</v>
      </c>
      <c r="V16" s="86">
        <f>COUNTIF($AT$3,"G4")</f>
        <v>0</v>
      </c>
      <c r="W16" s="86">
        <f>COUNTIF($AT$3,"E6")</f>
        <v>0</v>
      </c>
      <c r="X16" s="86">
        <f>COUNTIF($AT$3,"E5")+COUNTIF($AT$3,"z6")</f>
        <v>0</v>
      </c>
      <c r="Y16" s="86">
        <f>COUNTIF($AT$3,"g1")</f>
        <v>0</v>
      </c>
      <c r="Z16" s="86">
        <f>COUNTIF($AT$3,"g2")</f>
        <v>0</v>
      </c>
      <c r="AA16" s="86">
        <f>COUNTIF($AT$3,"E1")+COUNTIF($AT$3,"z2")</f>
        <v>0</v>
      </c>
      <c r="AB16" s="86">
        <f>COUNTIF($AT$3,"E2")+COUNTIF($AT$3,"z3")</f>
        <v>0</v>
      </c>
      <c r="AC16" s="86"/>
      <c r="AD16" s="58">
        <f>$X$2</f>
        <v>1</v>
      </c>
      <c r="AE16" s="56">
        <f>$Y$2</f>
        <v>0</v>
      </c>
      <c r="AF16" s="86" t="str">
        <f>IF(BA3&lt;5,0,IF(AG16+AH16&gt;1,"Ja","Nein"))</f>
        <v>Ja</v>
      </c>
      <c r="AG16" s="86">
        <f>Z2</f>
        <v>2</v>
      </c>
      <c r="AH16" s="84">
        <f>AA2</f>
        <v>5</v>
      </c>
      <c r="AI16" s="88">
        <f>E18+F18+L18+M18</f>
        <v>1</v>
      </c>
      <c r="AJ16" s="86">
        <f>Y18+Z18+AA18+AB18+AC18+AG18</f>
        <v>10</v>
      </c>
      <c r="AK16" s="86">
        <f>IF(BA3&lt;5,0,H18+J18+O18+Q18)</f>
        <v>1</v>
      </c>
      <c r="AL16" s="89">
        <f>IF(BA3&lt;5,0,U18+V18+W18+AD18+X18+AF18+AE18)</f>
        <v>1</v>
      </c>
      <c r="AM16" s="23"/>
      <c r="AS16" s="8">
        <f>IF(AS15="z2",31,IF(AS15="z3",32,IF(AS15="z4",33,IF(AS15="z5",34,IF(AS15="g1",32,IF(AS15="g2",33,IF(AS15="g3",34,IF($B$3="Z",1,IF($B$3="E",3,IF($B$3="G",5,"-")))&amp;$C$3)))))))+0</f>
        <v>54</v>
      </c>
      <c r="AT16" s="9">
        <f>IF(AT15="z2",31,IF(AT15="z3",32,IF(AT15="z4",33,IF(AT15="z5",34,IF(AT15="g1",32,IF(AT15="g2",33,IF(AT15="g3",34,IF($D$3="Z",1,IF($D$3="E",3,IF($D$3="G",5,"-")))&amp;$E$3)))))))+0</f>
        <v>33</v>
      </c>
      <c r="AU16" s="9">
        <f>IF(AU15="z2",31,IF(AU15="z3",32,IF(AU15="z4",33,IF(AU15="z5",34,IF(AU15="g1",32,IF(AU15="g2",33,IF(AU15="g3",34,IF(AU15="e5",54,IF(AU15="e6",55,IF($F$3="Z",1,IF($F$3="E",3,IF($F$3="G",5,"-")))&amp;$G$3)))))))))+0</f>
        <v>34</v>
      </c>
      <c r="AV16" s="9" t="str">
        <f>IF($H$3="Z",1,IF($H$3="E",3,IF($H$3="G",5,"-")))&amp;$I$3</f>
        <v>34</v>
      </c>
      <c r="AW16" s="1">
        <f>Z2-2</f>
        <v>0</v>
      </c>
      <c r="AX16" s="1">
        <f>AA2</f>
        <v>5</v>
      </c>
      <c r="BR16" s="7">
        <f>IF(BR15=0,0,IF(BQ14=1,0,SMALL($BM$15:$BP$15,2)))</f>
        <v>0</v>
      </c>
    </row>
    <row r="17" spans="1:48" ht="30" customHeight="1" x14ac:dyDescent="0.3">
      <c r="A17" s="175"/>
      <c r="B17" s="176"/>
      <c r="C17" s="62" t="str">
        <f>IF(C16="Ja!","Um-kursen!","OK")</f>
        <v>OK</v>
      </c>
      <c r="D17" s="64" t="str">
        <f>IF(BA3&lt;5,"OK",IF(D16&gt;=2,"OK","X"))</f>
        <v>OK</v>
      </c>
      <c r="E17" s="65" t="s">
        <v>2</v>
      </c>
      <c r="F17" s="63" t="s">
        <v>2</v>
      </c>
      <c r="G17" s="63" t="s">
        <v>2</v>
      </c>
      <c r="H17" s="63" t="str">
        <f>IF(H16=0,"OK",IF(AK17="X","X",IF(AND(H16=1,I16="Nein"),"X",IF(AND(H16=1,I16="Ja"),"Aus- gleich !","X"))))</f>
        <v>OK</v>
      </c>
      <c r="I17" s="63" t="str">
        <f>IF($H$17="OK","OK",IF($H$17="Aus- gleich !","Aus- gleich !","X"))</f>
        <v>OK</v>
      </c>
      <c r="J17" s="63" t="str">
        <f>IF($J$16=0,"OK",IF(K16="Nein","X",IF($AK$17="X","X",IF(AND($AK$16&lt;=2,$J$16=1,$K$16="Ja"),"Aus- gleich !"))))</f>
        <v>OK</v>
      </c>
      <c r="K17" s="63" t="str">
        <f>IF($J$17="OK","OK",IF($AK$17="X","X",IF($J$17="Aus- gleich !","Aus- gleich !","X")))</f>
        <v>OK</v>
      </c>
      <c r="L17" s="63" t="s">
        <v>2</v>
      </c>
      <c r="M17" s="63" t="s">
        <v>2</v>
      </c>
      <c r="N17" s="63" t="str">
        <f>IF(N16&lt;3,"OK","X")</f>
        <v>OK</v>
      </c>
      <c r="O17" s="63" t="str">
        <f>IF(O16=0,"OK",IF(AND(O16=1,P16&lt;1),"X",IF(AND(O16=1,P16&gt;=1),"Aus- gleich !","X")))</f>
        <v>Aus- gleich !</v>
      </c>
      <c r="P17" s="63" t="str">
        <f>IF($O$17="Aus- gleich !","Aus- gleich !",IF($O$17="OK","OK",IF($AK$17="X","X","OK")))</f>
        <v>Aus- gleich !</v>
      </c>
      <c r="Q17" s="63" t="str">
        <f>IF(Q16=0,"OK",IF(AND(Q16=1,R16="Nein"),"X",IF(AND(Q16=1,R16="Ja"),"Aus- gleich !","X")))</f>
        <v>OK</v>
      </c>
      <c r="R17" s="63" t="str">
        <f>IF($Q$17="OK","OK",IF($AK$17="X","X",IF($Q$17="Aus- gleich !","Aus- gleich !","OK")))</f>
        <v>OK</v>
      </c>
      <c r="S17" s="64" t="str">
        <f>IF($S$16=0,"OK","X")</f>
        <v>OK</v>
      </c>
      <c r="T17" s="62" t="str">
        <f>IF(T16&gt;0,"X","OK")</f>
        <v>OK</v>
      </c>
      <c r="U17" s="63" t="str">
        <f>IF(U16=0,"OK",IF($AK$16="X","X",IF(AND(U16=1,$AI$16+$AJ$16&gt;=$AK$16),"Aus- gleich !","X")))</f>
        <v>OK</v>
      </c>
      <c r="V17" s="63" t="str">
        <f>IF(V16=0,"OK",IF(AS16="X","X",IF(AND(V16=1,AI16+AJ16&gt;=AK16),"Aus- gleich !","X")))</f>
        <v>OK</v>
      </c>
      <c r="W17" s="63" t="str">
        <f>IF(W16=0,"OK",IF($AK$16="X","X",IF(AND(W16=1,$AI$16+$AJ$16&gt;=$AK$16),"Aus- gleich !","X")))</f>
        <v>OK</v>
      </c>
      <c r="X17" s="63" t="str">
        <f>IF(X16=0,"OK",IF(AK16="X","X",IF(AND(X16=1,AI16+AJ16&gt;=AK16),"Aus- gleich !","X")))</f>
        <v>OK</v>
      </c>
      <c r="Y17" s="63" t="s">
        <v>2</v>
      </c>
      <c r="Z17" s="63" t="s">
        <v>2</v>
      </c>
      <c r="AA17" s="63" t="s">
        <v>2</v>
      </c>
      <c r="AB17" s="63" t="s">
        <v>2</v>
      </c>
      <c r="AC17" s="63" t="s">
        <v>2</v>
      </c>
      <c r="AD17" s="63" t="str">
        <f>IF(AD16=0,"OK",IF(AX16="X","X",IF(AND(AD16=1,AV16+AW16&gt;=AX16),"Aus- gleich !","X")))</f>
        <v>Aus- gleich !</v>
      </c>
      <c r="AE17" s="63" t="str">
        <f>IF(AE16=0,"OK",IF($AK$16="X","X",IF(AND(AE16=1,$AI$16+$AJ$16&gt;=$AK$16),"Aus- gleich !","X")))</f>
        <v>OK</v>
      </c>
      <c r="AF17" s="63" t="str">
        <f>IF(BA3&lt;5,"OK",IF(AF16="Ja","OK",IF(AND(AF16="Nein",AG16=1),"Aus- gleich !",IF(AND(AF16="Nein",AG16=0),"Aus- gleich !"))))</f>
        <v>OK</v>
      </c>
      <c r="AG17" s="63" t="str">
        <f>IF(BA3&lt;5,"OK",IF(AF16="Ja","OK",IF(AF16="Nein","Aus- gleich !")))</f>
        <v>OK</v>
      </c>
      <c r="AH17" s="64" t="s">
        <v>2</v>
      </c>
      <c r="AI17" s="65" t="s">
        <v>2</v>
      </c>
      <c r="AJ17" s="63" t="s">
        <v>2</v>
      </c>
      <c r="AK17" s="63" t="str">
        <f>IF(AK16=0,"OK",IF(Q17="X","X",IF(S17="X","X",IF(AK16+AL16&lt;=1,"OK",IF(AND(AI16+AJ16&gt;=AK16+AL16,AK16&lt;=AI16,AK16+AL16=2),"Aus-gleich?","X")))))</f>
        <v>Aus-gleich?</v>
      </c>
      <c r="AL17" s="63" t="str">
        <f>IF(AK17="X","X",IF(T17="X","X",IF(BA3&lt;5,"OK",IF(AND(AL16&lt;=AJ16+AI16,AL16+AK16=2),"Aus-gleich?",IF(AL16+AK16&lt;=1,"OK","X")))))</f>
        <v>Aus-gleich?</v>
      </c>
      <c r="AM17" s="23"/>
      <c r="AS17" s="6">
        <f>COUNTIF(C17:AL17,"X")</f>
        <v>0</v>
      </c>
      <c r="AU17" s="6">
        <f>IF(Z2+AA2&gt;1,0,IF(Z2+AA2=1,1,IF(Z2+AA2=0,2)))</f>
        <v>0</v>
      </c>
    </row>
    <row r="18" spans="1:48" ht="30" customHeight="1" thickBot="1" x14ac:dyDescent="0.35">
      <c r="A18" s="177"/>
      <c r="B18" s="178"/>
      <c r="C18" s="90"/>
      <c r="D18" s="74" t="str">
        <f>IF(D17="X","kein RS-Abschl.","")</f>
        <v/>
      </c>
      <c r="E18" s="91">
        <f>IF(E16=0,0,IF(E16=1,2,IF(E16=2,4,6)))</f>
        <v>0</v>
      </c>
      <c r="F18" s="68">
        <f>IF(F16=0,0,IF(F16=1,1,IF(F16=2,2,3)))</f>
        <v>1</v>
      </c>
      <c r="G18" s="69" t="s">
        <v>89</v>
      </c>
      <c r="H18" s="68">
        <f>IF(H16=0,0,IF(H16=1,1,IF(H16=2,2,3)))</f>
        <v>0</v>
      </c>
      <c r="I18" s="68" t="str">
        <f>IF(I17="X","kein RS-Abschl.","")</f>
        <v/>
      </c>
      <c r="J18" s="68">
        <f>IF(J16=0,0,IF(J16=1,2,IF(J16=2,4,6)))</f>
        <v>0</v>
      </c>
      <c r="K18" s="68" t="str">
        <f>IF(K17="X","kein RS-Abschl.","")</f>
        <v/>
      </c>
      <c r="L18" s="68">
        <f>IF(L16=0,0,IF(L16=1,2,IF(L16=2,4,6)))</f>
        <v>0</v>
      </c>
      <c r="M18" s="68">
        <f>IF(M16=0,0,IF(M16=1,1,IF(M16=2,2,3)))</f>
        <v>0</v>
      </c>
      <c r="N18" s="69" t="s">
        <v>89</v>
      </c>
      <c r="O18" s="68">
        <f>IF(O16=0,0,IF(O16=1,1,IF(O16=2,2,3)))</f>
        <v>1</v>
      </c>
      <c r="P18" s="68" t="str">
        <f>IF(P17="X","kein RS-Abschl.","")</f>
        <v/>
      </c>
      <c r="Q18" s="68">
        <f>IF(Q16=0,0,IF(Q16=1,2,IF(Q16=2,4,6)))</f>
        <v>0</v>
      </c>
      <c r="R18" s="68" t="str">
        <f>IF(R17="X","kein RS-Abschl.","")</f>
        <v/>
      </c>
      <c r="S18" s="74" t="str">
        <f>IF(S16&gt;0,"kein RS-Abschl.","")</f>
        <v/>
      </c>
      <c r="T18" s="92" t="str">
        <f>IF(T16&gt;0,"kein RS-Abschl.","")</f>
        <v/>
      </c>
      <c r="U18" s="93">
        <f>IF(U16=0,0,IF(U16=1,2,IF(U16=2,4,6)))</f>
        <v>0</v>
      </c>
      <c r="V18" s="93">
        <f>IF(V16=0,0,IF(V16=1,1,IF(V16=2,2,3)))</f>
        <v>0</v>
      </c>
      <c r="W18" s="93">
        <f>IF(W16=0,0,IF(W16=1,2,IF(W16=2,4,6)))</f>
        <v>0</v>
      </c>
      <c r="X18" s="93">
        <f>IF(X16=0,0,IF(X16=1,1,IF(X16=2,2,3)))</f>
        <v>0</v>
      </c>
      <c r="Y18" s="93">
        <f>IF(Y16=0,0,IF(Y16=1,2,IF(Y16=2,4,6)))</f>
        <v>0</v>
      </c>
      <c r="Z18" s="93">
        <f>IF(Z16=0,0,IF(Z16=1,1,IF(Z16=2,2,3)))</f>
        <v>0</v>
      </c>
      <c r="AA18" s="93">
        <f>IF(AA16=0,0,IF(AA16=1,3,IF(AA16=2,6,9)))</f>
        <v>0</v>
      </c>
      <c r="AB18" s="93">
        <f>IF(AB16=0,0,IF(AB16=1,2,IF(AB16=2,4,6)))</f>
        <v>0</v>
      </c>
      <c r="AC18" s="93">
        <f>IF(AC16=0,0,IF(AC16=1,1,IF(AC16=2,2,3)))</f>
        <v>0</v>
      </c>
      <c r="AD18" s="93">
        <f>IF(AD16=0,0,IF(AD16=1,1,IF(AD16=2,2,3)))</f>
        <v>1</v>
      </c>
      <c r="AE18" s="93">
        <f>IF(AE16=0,0,IF(AE16=1,2,IF(AE16=2,4,6)))</f>
        <v>0</v>
      </c>
      <c r="AF18" s="94" t="str">
        <f>IF(AF16=0,0,(IF(AF16="Ja","0",IF(AND(AF16="Nein",AG16+AH16=1),1,IF(AND(AF16="Nein",AG16=0),2)))))</f>
        <v>0</v>
      </c>
      <c r="AG18" s="171">
        <f>IF(AND(AG16=0,AH16=2),2,IF(AND(AG16=0,AH16&gt;2),2+(AH16-2)*2,IF(AND(AG16=0,AH16&lt;2),0,IF(AND(AG16=1,AH16=0),0,IF(AND(AG16=1,AH16=1),1,IF(AND(AG16=1,AH16&gt;1),1+(AH16-1)*2,IF(AND(AG16=2,AH16=0),0,IF(AND(AG16=2,AH16&gt;0),AH16*2,IF(AND(AG16&gt;2,AH16&gt;0),AG16-2+AH16*2,IF(AND(AG16&gt;2,AH16=0),AG16-2))))))))))</f>
        <v>10</v>
      </c>
      <c r="AH18" s="172"/>
      <c r="AI18" s="95"/>
      <c r="AJ18" s="96"/>
      <c r="AK18" s="97"/>
      <c r="AL18" s="98"/>
      <c r="AM18" s="23"/>
      <c r="AS18" s="6"/>
    </row>
    <row r="19" spans="1:48" ht="45" customHeight="1" thickBot="1" x14ac:dyDescent="0.35">
      <c r="A19" s="99"/>
      <c r="B19" s="99"/>
      <c r="C19" s="100"/>
      <c r="D19" s="100"/>
      <c r="E19" s="100"/>
      <c r="F19" s="165" t="s">
        <v>37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  <c r="U19" s="168" t="s">
        <v>36</v>
      </c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23"/>
      <c r="AK19" s="23"/>
      <c r="AL19" s="23"/>
      <c r="AM19" s="23"/>
      <c r="AS19" s="10" t="str">
        <f>IF(AQ22=0,"erweiterter Sekundarabschluss I",IF(AND(AQ22&gt;0,AS17=0),"Sekundarabschluss I - Realschulabschluss",IF(AS12&gt;0,"Kein Abschluss nach Klasse 10!",IF(AND(AS17&gt;0,AQ22&gt;0,AS12=0),"Sekundarabschluss I - Hauptschulabschluss"))))</f>
        <v>Sekundarabschluss I - Realschulabschluss</v>
      </c>
    </row>
    <row r="20" spans="1:48" ht="131.25" customHeight="1" x14ac:dyDescent="0.3">
      <c r="A20" s="159" t="s">
        <v>20</v>
      </c>
      <c r="B20" s="160"/>
      <c r="C20" s="101" t="s">
        <v>6</v>
      </c>
      <c r="D20" s="102" t="s">
        <v>7</v>
      </c>
      <c r="E20" s="103" t="s">
        <v>17</v>
      </c>
      <c r="F20" s="104" t="s">
        <v>67</v>
      </c>
      <c r="G20" s="105" t="s">
        <v>68</v>
      </c>
      <c r="H20" s="105" t="s">
        <v>69</v>
      </c>
      <c r="I20" s="105" t="s">
        <v>70</v>
      </c>
      <c r="J20" s="105" t="s">
        <v>71</v>
      </c>
      <c r="K20" s="105" t="s">
        <v>25</v>
      </c>
      <c r="L20" s="105" t="s">
        <v>46</v>
      </c>
      <c r="M20" s="105" t="s">
        <v>44</v>
      </c>
      <c r="N20" s="105" t="s">
        <v>27</v>
      </c>
      <c r="O20" s="105" t="s">
        <v>24</v>
      </c>
      <c r="P20" s="105" t="s">
        <v>72</v>
      </c>
      <c r="Q20" s="105" t="s">
        <v>85</v>
      </c>
      <c r="R20" s="105" t="s">
        <v>86</v>
      </c>
      <c r="S20" s="105" t="s">
        <v>18</v>
      </c>
      <c r="T20" s="106" t="s">
        <v>19</v>
      </c>
      <c r="U20" s="104" t="s">
        <v>67</v>
      </c>
      <c r="V20" s="105" t="s">
        <v>68</v>
      </c>
      <c r="W20" s="105" t="s">
        <v>69</v>
      </c>
      <c r="X20" s="105" t="s">
        <v>70</v>
      </c>
      <c r="Y20" s="105" t="s">
        <v>71</v>
      </c>
      <c r="Z20" s="105" t="s">
        <v>25</v>
      </c>
      <c r="AA20" s="105" t="s">
        <v>46</v>
      </c>
      <c r="AB20" s="105" t="s">
        <v>44</v>
      </c>
      <c r="AC20" s="105" t="s">
        <v>27</v>
      </c>
      <c r="AD20" s="105" t="s">
        <v>24</v>
      </c>
      <c r="AE20" s="105" t="s">
        <v>72</v>
      </c>
      <c r="AF20" s="105" t="str">
        <f>AA1</f>
        <v>Wie oft Note 2 oder besser in allen anderen Fächern?</v>
      </c>
      <c r="AG20" s="107" t="str">
        <f>Z1</f>
        <v>Wie oft Note 3  in allen anderen Fächern?</v>
      </c>
      <c r="AH20" s="105" t="str">
        <f>$X$1</f>
        <v>Note 5 in allen anderen Fächern:</v>
      </c>
      <c r="AI20" s="107" t="str">
        <f>$Y$1</f>
        <v>Note 6 in allen anderen Fächern:</v>
      </c>
      <c r="AJ20" s="104" t="s">
        <v>79</v>
      </c>
      <c r="AK20" s="105" t="s">
        <v>78</v>
      </c>
      <c r="AL20" s="105" t="s">
        <v>83</v>
      </c>
      <c r="AM20" s="106" t="s">
        <v>84</v>
      </c>
      <c r="AS20" s="6" t="str">
        <f>$B$3&amp;$C$3</f>
        <v>G4</v>
      </c>
      <c r="AT20" s="6" t="str">
        <f>$D$3&amp;$E$3</f>
        <v>E3</v>
      </c>
      <c r="AU20" s="6" t="str">
        <f>$F$3&amp;$G$3</f>
        <v>G3</v>
      </c>
      <c r="AV20" s="6" t="str">
        <f>$H$3&amp;$I$3</f>
        <v>E4</v>
      </c>
    </row>
    <row r="21" spans="1:48" ht="31.2" x14ac:dyDescent="0.3">
      <c r="A21" s="161"/>
      <c r="B21" s="162"/>
      <c r="C21" s="55" t="str">
        <f>IF(BK6&lt;5,0,IF(COUNTIF($B$3:$H$3,"Z")&gt;0,"Ja!","Nein"))</f>
        <v>Nein</v>
      </c>
      <c r="D21" s="86">
        <f>COUNTIF($AQ$3:$AT$3,"E1")+COUNTIF($AQ$3:$AT$3,"E2")+COUNTIF($AQ$3:$AT$3,"E3")+COUNTIF($AQ$3:$AT$3,"e4")+COUNTIF($AQ$3:$AT$3,"e5")+COUNTIF($AQ$3:$AT$3,"e6")+COUNTIF($AQ$3:$AT$3,"Z1")+COUNTIF($AQ$3:$AT$3,"z2")+COUNTIF($AQ$3:$AT$3,"Z3")+COUNTIF($AQ$3:$AT$3,"Z4")+COUNTIF($AQ$3:$AT$3,"z5")+COUNTIF($AQ$3:$AT$3,"Z6")</f>
        <v>2</v>
      </c>
      <c r="E21" s="108">
        <f>A6</f>
        <v>3.08</v>
      </c>
      <c r="F21" s="87">
        <f>COUNTIF($AQ$3:$AS$3,"E1")+COUNTIF($AQ$3:$AS$3,"z2")+COUNTIF($AQ$3:$AS$3,"z1")</f>
        <v>0</v>
      </c>
      <c r="G21" s="86">
        <f>COUNTIF($AQ$3:$AS$3,"E2")+COUNTIF($AQ$3:$AS$3,"z3")</f>
        <v>0</v>
      </c>
      <c r="H21" s="86">
        <f>COUNTIF($AQ$3:$AS$3,"E3")+COUNTIF($AQ$3:$AS$3,"z4")</f>
        <v>1</v>
      </c>
      <c r="I21" s="86">
        <f>COUNTIF($AQ$3:$AS$3,"E4")+COUNTIF($AQ$3:$AS$3,"Z5")</f>
        <v>0</v>
      </c>
      <c r="J21" s="86">
        <f>COUNTIF($AQ$3:$AS$3,"E5")+COUNTIF($AQ$3:$AS$3,"Z6")</f>
        <v>0</v>
      </c>
      <c r="K21" s="86">
        <f>COUNTIF($AQ$3:$AS$3,"E6")</f>
        <v>0</v>
      </c>
      <c r="L21" s="86">
        <f>COUNTIF($AQ$3:$AS$3,"g1")</f>
        <v>0</v>
      </c>
      <c r="M21" s="86">
        <f>COUNTIF($AQ$3:$AS$3,"G2")</f>
        <v>0</v>
      </c>
      <c r="N21" s="86">
        <f>COUNTIF($AQ$3:$AS$3,"G3")</f>
        <v>1</v>
      </c>
      <c r="O21" s="86">
        <f>COUNTIF($AQ$3:$AS$3,"G4")</f>
        <v>1</v>
      </c>
      <c r="P21" s="86">
        <f>COUNTIF($AQ$3:$AS$3,"G5")+COUNTIF($AQ$3:$AS$3,"G6")</f>
        <v>0</v>
      </c>
      <c r="Q21" s="86">
        <f>COUNTIF($N$6,"1")</f>
        <v>0</v>
      </c>
      <c r="R21" s="86">
        <f>COUNTIF($N$6,"2")</f>
        <v>0</v>
      </c>
      <c r="S21" s="86">
        <f>COUNTIF($N$6,"5")</f>
        <v>0</v>
      </c>
      <c r="T21" s="84">
        <f>COUNTIF($N$6,"6")</f>
        <v>0</v>
      </c>
      <c r="U21" s="87">
        <f>COUNTIF($AT$3,"E1")+COUNTIF($AT$3,"z2")+COUNTIF($AT$3,"z1")</f>
        <v>0</v>
      </c>
      <c r="V21" s="86">
        <f>COUNTIF($AT$3,"E2")+COUNTIF($AT$3,"z3")</f>
        <v>0</v>
      </c>
      <c r="W21" s="86">
        <f>COUNTIF($AT$3,"E3")+COUNTIF($AT$3,"z4")</f>
        <v>0</v>
      </c>
      <c r="X21" s="86">
        <f>COUNTIF($AT$3,"E4")+COUNTIF($AT$3,"z5")</f>
        <v>1</v>
      </c>
      <c r="Y21" s="86">
        <f>COUNTIF($AT$3,"E5")+COUNTIF($AT$3,"z6")</f>
        <v>0</v>
      </c>
      <c r="Z21" s="86">
        <f>COUNTIF($AT$3,"E6")</f>
        <v>0</v>
      </c>
      <c r="AA21" s="86">
        <f>COUNTIF($AT$3,"G1")</f>
        <v>0</v>
      </c>
      <c r="AB21" s="86">
        <f>COUNTIF($AT$3,"G2")</f>
        <v>0</v>
      </c>
      <c r="AC21" s="86">
        <f>COUNTIF($AT$3,"G3")</f>
        <v>0</v>
      </c>
      <c r="AD21" s="86">
        <f>COUNTIF($AT$3,"G4")</f>
        <v>0</v>
      </c>
      <c r="AE21" s="86">
        <f>COUNTIF($AT$3,"G5")+COUNTIF($AT$3,"G6")</f>
        <v>0</v>
      </c>
      <c r="AF21" s="86">
        <f>AA2</f>
        <v>5</v>
      </c>
      <c r="AG21" s="86">
        <f>Z2</f>
        <v>2</v>
      </c>
      <c r="AH21" s="86">
        <f>$X$2</f>
        <v>1</v>
      </c>
      <c r="AI21" s="109">
        <f>$Y$2</f>
        <v>0</v>
      </c>
      <c r="AJ21" s="110">
        <f>IF(H23="kein erw. RS",F23+G23+L23+Q23+R23,IF(AND(F21=3,U21=1),F23+U23,F23+G23+L23+Q23+R23+H23))</f>
        <v>0</v>
      </c>
      <c r="AK21" s="86">
        <f>U23+V23+AA23+AG23+AF23</f>
        <v>2</v>
      </c>
      <c r="AL21" s="111">
        <f>I23+J23+K23+N23+O23+P23+S23+T23</f>
        <v>2</v>
      </c>
      <c r="AM21" s="84">
        <f>AC23+AE23+AD23+AH23+AI23+Z23+Y23+X23</f>
        <v>1</v>
      </c>
      <c r="AS21" s="8">
        <f>IF(AS20="z2",31,IF(AS20="z3",32,IF(AS20="z4",33,IF(AS20="z5",34,IF(AS20="g1",32,IF(AS20="g2",33,IF(AS20="g3",34,IF($B$3="Z",1,IF($B$3="E",3,IF($B$3="G",5,"-")))&amp;$C$3)))))))+0</f>
        <v>54</v>
      </c>
      <c r="AT21" s="9">
        <f>IF(AT20="z2",31,IF(AT20="z3",32,IF(AT20="z4",33,IF(AT20="z5",34,IF(AT20="g1",32,IF(AT20="g2",33,IF(AT20="g3",34,IF($D$3="Z",1,IF($D$3="E",3,IF($D$3="G",5,"-")))&amp;$E$3)))))))+0</f>
        <v>33</v>
      </c>
      <c r="AU21" s="9">
        <f>IF(AU20="z2",31,IF(AU20="z3",32,IF(AU20="z4",33,IF(AU20="z5",34,IF(AU20="g1",32,IF(AU20="g2",33,IF(AU20="g3",34,IF(AG9="e5",54,IF(AG9="e6",55,IF($F$3="Z",1,IF($F$3="E",3,IF($F$3="G",5,"-")))&amp;$G$3)))))))))+0</f>
        <v>34</v>
      </c>
      <c r="AV21" s="9" t="str">
        <f>IF($H$3="Z",1,IF($H$3="E",3,IF($H$3="G",5,"-")))&amp;$I$3</f>
        <v>34</v>
      </c>
    </row>
    <row r="22" spans="1:48" ht="30" customHeight="1" x14ac:dyDescent="0.3">
      <c r="A22" s="161"/>
      <c r="B22" s="162"/>
      <c r="C22" s="62" t="str">
        <f>IF(C21="Nein","OK",IF(C21&gt;0,"Um-kursen!","OK"))</f>
        <v>OK</v>
      </c>
      <c r="D22" s="63" t="str">
        <f>IF(D21=0,"OK",IF(D21&gt;=3,"OK",IF(D21&lt;3,"X",IF(BK6&lt;5,"OK","X"))))</f>
        <v>X</v>
      </c>
      <c r="E22" s="112" t="str">
        <f>IF(E21=0,"OK",IF(E21="","OK",IF(E21=0,"X",IF(E21&lt;=3,"OK","X"))))</f>
        <v>X</v>
      </c>
      <c r="F22" s="62" t="s">
        <v>2</v>
      </c>
      <c r="G22" s="63" t="s">
        <v>2</v>
      </c>
      <c r="H22" s="63" t="s">
        <v>2</v>
      </c>
      <c r="I22" s="63" t="str">
        <f>IF(D21=0,"OK",IF(D21&lt;3,"X",IF(I21=0,"OK",IF(I21&gt;2,"X",IF(AND($D$21=4,I21=1),"OK",IF(AND(I21=2),"Aus-gleich?",IF(AND(I21=1,D21=3),"Aus-gleich?",IF(AND(I21=2,X21=1,SUM(F21:H21)&gt;0),"Aus-gleich?"))))))))</f>
        <v>X</v>
      </c>
      <c r="J22" s="63" t="str">
        <f>IF(E21=0,"OK",IF(D21&lt;3,"X",IF(J21=1,"Aus-gleich?",IF(J21=0,"OK","X"))))</f>
        <v>X</v>
      </c>
      <c r="K22" s="63" t="str">
        <f>IF(D22&lt;3,"X",IF(K21=0,"OK",IF(AND(I21=0,J21=0,SUM(L21:P21)=0,SUM(X21:AE21)=0),"Aus-gleich?",IF(K21&gt;0,"X","OK"))))</f>
        <v>OK</v>
      </c>
      <c r="L22" s="63" t="str">
        <f>IF(E21=0,"OK",IF(D21&lt;3,"X",IF(L21=1,"OK","OK")))</f>
        <v>X</v>
      </c>
      <c r="M22" s="63" t="str">
        <f>IF(D22="X","X",IF(M21=0,"OK",IF(M21&gt;1,"X",IF(AND($D$21=3,M21=1),"OK",IF(AND(M21=2,J21&lt;1),"X")))))</f>
        <v>X</v>
      </c>
      <c r="N22" s="63" t="str">
        <f>IF(AND(SUM(F21:G21)&gt;0,N21=1),"Aus-gleich?",IF(AND(I21&lt;1,N21=1),"Aus-gleich?",IF(N21&gt;1,"X","OK")))</f>
        <v>Aus-gleich?</v>
      </c>
      <c r="O22" s="63" t="str">
        <f>IF(O21=1,"Aus-gleich?",IF(O21&gt;1,"X","OK"))</f>
        <v>Aus-gleich?</v>
      </c>
      <c r="P22" s="63" t="str">
        <f>IF(P21&gt;0,"X","OK")</f>
        <v>OK</v>
      </c>
      <c r="Q22" s="63" t="s">
        <v>2</v>
      </c>
      <c r="R22" s="63" t="s">
        <v>2</v>
      </c>
      <c r="S22" s="63" t="str">
        <f>IF(S21&gt;0,"Aus-gleich?","OK")</f>
        <v>OK</v>
      </c>
      <c r="T22" s="64" t="str">
        <f>IF(T21&gt;0,"Aus-gleich?","OK")</f>
        <v>OK</v>
      </c>
      <c r="U22" s="62" t="s">
        <v>74</v>
      </c>
      <c r="V22" s="63" t="s">
        <v>2</v>
      </c>
      <c r="W22" s="63" t="s">
        <v>2</v>
      </c>
      <c r="X22" s="63" t="str">
        <f>IF(X21=0,"OK",IF(AND(I21=2,OR(M21=1,AB21=1)),"Aus-gleich?",IF(AND(D21=4,I21=2,X21=1),"Aus-gleich?",IF(E21=0,"OK",IF(D21&lt;3,"X",IF(X21=0,"OK",IF(AND($D$21=4,I21=0,X21=1),"OK",IF(AND(X21=1,I21=0,D21=3),"Aus-gleich?",IF(AND(I21=1,X21=1),"Aus-gleich?",IF(AND(I21=2,X21=1),"Aus-gleich?"))))))))))</f>
        <v>X</v>
      </c>
      <c r="Y22" s="63" t="str">
        <f>IF(Y21=0,"OK",IF(AND(Y21=1,SUM(J21:P21)=0,X21=0,SUM(Z21:AE21)=0),"Aus-gleich?",IF(AND(Y21=1,SUM(I21:L21)=0,SUM(N21:P21)=0,X21=0,SUM(Z21:AE21)=0),"Aus-gleich?","X")))</f>
        <v>OK</v>
      </c>
      <c r="Z22" s="63" t="str">
        <f>IF(E21=0,"OK",IF(D21&lt;3,"X",IF(Z21=0,"OK",IF(AND(I21=0,J21=0,SUM(K21:P21)=0,X21=0,Y21=0,SUM(AA21:AE21)=0),"Aus-gleich?",IF(Z21&gt;0,"X","OK")))))</f>
        <v>X</v>
      </c>
      <c r="AA22" s="63" t="str">
        <f>IF(AA21=0,"OK",IF(AND(D21&gt;=3,AA21=1),"OK"))</f>
        <v>OK</v>
      </c>
      <c r="AB22" s="63" t="str">
        <f>IF(AB21=0,"OK",IF(AND(D21&gt;=3,AB21=1),"OK"))</f>
        <v>OK</v>
      </c>
      <c r="AC22" s="63" t="str">
        <f>IF(AC21=0,"OK",IF(AND(D21=3,AC21=1,I21=0,J21=0,K21=0),"OK",IF(AND(SUM(J21:P21)=0,SUM(X21:AB21)=0,SUM(AD21:AE21)=0),"Aus-gleich?",IF(AND(AC21=1,SUM(I21:P21)=0,SUM(X21:AB21)=0,SUM(AD21:AE21)=0),"Aus-gleich?","OK"))))</f>
        <v>OK</v>
      </c>
      <c r="AD22" s="63" t="str">
        <f>IF(AD21=0,"OK",IF(AND(D21=3,SUM(I21:P21)=0,AD21=1,AL21=0),"Aus-gleich?",IF(AD21&gt;1,"X","X")))</f>
        <v>OK</v>
      </c>
      <c r="AE22" s="63" t="str">
        <f>IF(AE21=0,"OK","X")</f>
        <v>OK</v>
      </c>
      <c r="AF22" s="63" t="s">
        <v>2</v>
      </c>
      <c r="AG22" s="63" t="s">
        <v>2</v>
      </c>
      <c r="AH22" s="63" t="str">
        <f>IF(AH21=0,"OK",IF(AH21&lt;3,"Aus-gleich?","X"))</f>
        <v>Aus-gleich?</v>
      </c>
      <c r="AI22" s="113" t="str">
        <f>IF(AI21&gt;1,"X","OK")</f>
        <v>OK</v>
      </c>
      <c r="AJ22" s="114" t="s">
        <v>2</v>
      </c>
      <c r="AK22" s="63" t="s">
        <v>2</v>
      </c>
      <c r="AL22" s="63" t="str">
        <f>IF(AL21+AM21=1,"OK",IF(AL21+AM21=0,"OK",IF(AL21+AM21&gt;AJ21+AK21,"X",IF(AL21+AM21&lt;=AJ21+AK21,"Aus-gleich?",IF(AL21=0,"OK",IF(AL21+AM21=1,"OK",IF(AND(AL21+AM21=2,AJ21&gt;=AL21),"Aus-gleich?","X")))))))</f>
        <v>X</v>
      </c>
      <c r="AM22" s="64" t="str">
        <f>IF(AL21+AM21=0,"OK",IF(AL21+AM21=1,"OK",IF(AL22="X","X",IF(AM21+AL21=0,"OK",IF(AL21+AM21=1,"OK",IF(AND(AL21+AM21=2,AL21=1,AJ21=1,AK21&gt;=1),"Aus-gleich?",IF(AL21+AM21&gt;2,"X","Aus-gleich?")))))))</f>
        <v>X</v>
      </c>
      <c r="AQ22" s="6">
        <f>COUNTIF(C22:AM22,"X")</f>
        <v>10</v>
      </c>
    </row>
    <row r="23" spans="1:48" ht="30" customHeight="1" thickBot="1" x14ac:dyDescent="0.35">
      <c r="A23" s="163"/>
      <c r="B23" s="164"/>
      <c r="C23" s="90"/>
      <c r="D23" s="68" t="str">
        <f>IF(D22="X","kein erw. RS","")</f>
        <v>kein erw. RS</v>
      </c>
      <c r="E23" s="68" t="str">
        <f>IF(E21=0,"",IF(D21&lt;3,"kein erw. RS",0))</f>
        <v>kein erw. RS</v>
      </c>
      <c r="F23" s="115">
        <f>IF(F21=0,0,IF(F21=1,2,IF(F21=2,4,6)))</f>
        <v>0</v>
      </c>
      <c r="G23" s="116">
        <f>IF(G21=0,0,IF(G21=1,1,IF(G21=2,2,3)))</f>
        <v>0</v>
      </c>
      <c r="H23" s="117" t="str">
        <f>IF(E21=0,0,IF(COUNTIF(AS21:AV21,33)=4,1,IF(M23="Mindest-anforder.","Mindest-amford.",IF(D21&lt;3,"kein erw. RS",IF(D21=4,"Mindest-anford.",IF(AND(D21=3,M21=1),"Mindest-anford.",0))))))</f>
        <v>kein erw. RS</v>
      </c>
      <c r="I23" s="116">
        <f>IF(AND(I21=1,D21=4),0,IF(AND(D21=4,I21=2,X21=1),1,IF(AND(SUM(F21:H21)&gt;0,I21=2,X21=1),1,IF(AND(I21=2,X21=0,D21=3),2,IF(I21=0,0,IF(I21=2,1,1))))))</f>
        <v>0</v>
      </c>
      <c r="J23" s="116">
        <f>IF(AND(SUM(L21:P21)=0,SUM(Y21:AE21)=0,I21=0,X21=0,J21=1),1,IF(J21=1,2,0))</f>
        <v>0</v>
      </c>
      <c r="K23" s="116">
        <f>IF(SUM(F21:H21)=3,0,IF(H21=3,0,IF(E21=0,0,IF(AND(I21=0,J21=0,SUM(L21:P21)=0,SUM(X21:AE21)=0),2,0))))</f>
        <v>0</v>
      </c>
      <c r="L23" s="116">
        <f>IF(D21=4,0,IF(H21=3,0,IF(E21=0,0,IF(D22="X",0,IF(AND(SUM(I21:K21)=0,SUM(M21:P21)=0,SUM(X21:AE21)=0),1,IF(L21=0,0))))))</f>
        <v>0</v>
      </c>
      <c r="M23" s="117" t="str">
        <f>IF(E21=0,0,IF(D21=4,0,IF(D21&lt;3,"kein erw. RS",IF(D21=3,"Mindest-anford."))))</f>
        <v>kein erw. RS</v>
      </c>
      <c r="N23" s="116">
        <f>IF(AND(D21=3,N21=1),1,IF(N22="Aus- gleich !",1,IF(N22="X",0,0)))</f>
        <v>0</v>
      </c>
      <c r="O23" s="116">
        <f>IF(O21=1,2,0)</f>
        <v>2</v>
      </c>
      <c r="P23" s="116">
        <f>IF(P21=0,0,P21*3)</f>
        <v>0</v>
      </c>
      <c r="Q23" s="116">
        <f>IF(Q21=1,2,0)</f>
        <v>0</v>
      </c>
      <c r="R23" s="116">
        <f>IF(R21=1,1,0)</f>
        <v>0</v>
      </c>
      <c r="S23" s="116">
        <f>IF(S21=1,1,IF(S21=0,0,))</f>
        <v>0</v>
      </c>
      <c r="T23" s="118">
        <f>IF(T21=0,0,IF(T21=1,2))</f>
        <v>0</v>
      </c>
      <c r="U23" s="119">
        <f>IF(U21=1,2,0)</f>
        <v>0</v>
      </c>
      <c r="V23" s="117">
        <f>IF(V21=1,1,0)</f>
        <v>0</v>
      </c>
      <c r="W23" s="117">
        <f>IF(AND(W21=1,SUM(I21:P21)=0,SUM(X21:AE21)=0),0,0)</f>
        <v>0</v>
      </c>
      <c r="X23" s="117">
        <f>IF(X21=0,0,IF(AND(I21=2,OR(M21=1,AB21=1)),1,IF(AND(D21=4,I21=2,X21=1),1,IF(X22="Aus-gleich?",1,0))))</f>
        <v>0</v>
      </c>
      <c r="Y23" s="117">
        <f>IF(Y21=0,0,IF(AND(SUM(I21:P21)=0,X21=0,SUM(Z21:AE21)=0),1,IF(AND(Y21=1,I21=1,SUM(J21:P21)=0,SUM(Z21:AE21)=0),2,0)))</f>
        <v>0</v>
      </c>
      <c r="Z23" s="117">
        <f>IF(Z21=0,0,IF(Z22="X",0,IF(AND(Z21=1,SUM(I21:P21)=0,X21=0,Y21=0,SUM(AA21:AE21)=0),2)))</f>
        <v>0</v>
      </c>
      <c r="AA23" s="117">
        <f>IF(AA21=0,0,IF(AND(D21=3,AA21=1),1))</f>
        <v>0</v>
      </c>
      <c r="AB23" s="117" t="s">
        <v>89</v>
      </c>
      <c r="AC23" s="117">
        <f>IF(AC21=0,0,IF(AC21=1,1))</f>
        <v>0</v>
      </c>
      <c r="AD23" s="117">
        <f>IF(AD21=0,0,IF(AD21=1,2,0))</f>
        <v>0</v>
      </c>
      <c r="AE23" s="117">
        <f>IF(AE21=0,0,3)</f>
        <v>0</v>
      </c>
      <c r="AF23" s="120">
        <f>IF(AI21&gt;0,AF21*2,0)</f>
        <v>0</v>
      </c>
      <c r="AG23" s="117">
        <f>IF(OR(AI21&gt;0,AH21&gt;0,AE21&gt;0),AG21*1,0)</f>
        <v>2</v>
      </c>
      <c r="AH23" s="117">
        <f>AH21*1</f>
        <v>1</v>
      </c>
      <c r="AI23" s="120">
        <f>AI21*2</f>
        <v>0</v>
      </c>
      <c r="AJ23" s="72"/>
      <c r="AK23" s="68"/>
      <c r="AL23" s="68"/>
      <c r="AM23" s="74"/>
    </row>
    <row r="24" spans="1:48" x14ac:dyDescent="0.3">
      <c r="A24" s="23"/>
      <c r="B24" s="23"/>
      <c r="C24" s="23"/>
      <c r="D24" s="23"/>
      <c r="E24" s="23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48" ht="15" thickBot="1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48" ht="84" customHeight="1" thickBot="1" x14ac:dyDescent="0.35">
      <c r="A26" s="23"/>
      <c r="B26" s="23"/>
      <c r="C26" s="23"/>
      <c r="D26" s="23"/>
      <c r="E26" s="138" t="str">
        <f>IF(AND(R3+S3=4,R3&gt;2),"erweiterter Sekundarabschluss I","")</f>
        <v/>
      </c>
      <c r="F26" s="138"/>
      <c r="G26" s="138"/>
      <c r="H26" s="138" t="str">
        <f>IF(AND($R$3&gt;1,$R$3+$S$3=4),"Sekundarabschluss I - Realschulabschluss","")</f>
        <v>Sekundarabschluss I - Realschulabschluss</v>
      </c>
      <c r="I26" s="138"/>
      <c r="J26" s="138"/>
      <c r="K26" s="138" t="str">
        <f>IF(N26&gt;"","Sekundarabschluss I - Hauptschulabschluss","")</f>
        <v>Sekundarabschluss I - Hauptschulabschluss</v>
      </c>
      <c r="L26" s="138"/>
      <c r="M26" s="138"/>
      <c r="N26" s="138" t="str">
        <f>IF(AND(R3+S3=4,R3&gt;=0),"Kein Abschluss nach Klasse 10!","")</f>
        <v>Kein Abschluss nach Klasse 10!</v>
      </c>
      <c r="O26" s="138"/>
      <c r="P26" s="13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48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9" spans="1:48" ht="15" customHeight="1" x14ac:dyDescent="0.3">
      <c r="H29" s="11"/>
      <c r="I29" s="11"/>
      <c r="J29" s="11"/>
      <c r="K29" s="11"/>
      <c r="L29" s="11"/>
      <c r="M29" s="11"/>
      <c r="N29" s="11"/>
      <c r="O29" s="11"/>
    </row>
  </sheetData>
  <sheetProtection sheet="1" objects="1" scenarios="1"/>
  <mergeCells count="31">
    <mergeCell ref="BJ12:BL12"/>
    <mergeCell ref="BJ13:BL13"/>
    <mergeCell ref="A7:N7"/>
    <mergeCell ref="E14:S14"/>
    <mergeCell ref="T14:AH14"/>
    <mergeCell ref="A15:B18"/>
    <mergeCell ref="A10:B13"/>
    <mergeCell ref="A1:A2"/>
    <mergeCell ref="D9:L9"/>
    <mergeCell ref="M9:V9"/>
    <mergeCell ref="P5:X5"/>
    <mergeCell ref="B1:C1"/>
    <mergeCell ref="D1:E1"/>
    <mergeCell ref="F1:G1"/>
    <mergeCell ref="H1:I1"/>
    <mergeCell ref="E26:G26"/>
    <mergeCell ref="U1:W1"/>
    <mergeCell ref="U2:W2"/>
    <mergeCell ref="B4:N4"/>
    <mergeCell ref="L1:O3"/>
    <mergeCell ref="Q2:Q3"/>
    <mergeCell ref="P2:P3"/>
    <mergeCell ref="N26:P26"/>
    <mergeCell ref="K26:M26"/>
    <mergeCell ref="H26:J26"/>
    <mergeCell ref="J1:K2"/>
    <mergeCell ref="J3:K3"/>
    <mergeCell ref="A20:B23"/>
    <mergeCell ref="F19:T19"/>
    <mergeCell ref="U19:AI19"/>
    <mergeCell ref="AG18:AH18"/>
  </mergeCells>
  <conditionalFormatting sqref="P2">
    <cfRule type="containsText" dxfId="398" priority="747" operator="containsText" text="OK">
      <formula>NOT(ISERROR(SEARCH("OK",P2)))</formula>
    </cfRule>
    <cfRule type="containsText" dxfId="397" priority="748" operator="containsText" text="Es müssen noch Kurse eingegeben werden! Eventuell ist ein Kurs falsch eingegeben!">
      <formula>NOT(ISERROR(SEARCH("Es müssen noch Kurse eingegeben werden! Eventuell ist ein Kurs falsch eingegeben!",P2)))</formula>
    </cfRule>
  </conditionalFormatting>
  <conditionalFormatting sqref="Q2">
    <cfRule type="containsText" dxfId="396" priority="745" operator="containsText" text="OK">
      <formula>NOT(ISERROR(SEARCH("OK",Q2)))</formula>
    </cfRule>
    <cfRule type="containsText" dxfId="395" priority="746" operator="containsText" text="Die">
      <formula>NOT(ISERROR(SEARCH("Die",Q2)))</formula>
    </cfRule>
  </conditionalFormatting>
  <conditionalFormatting sqref="S12:V12 X12:Y12 C19:E19 C12:P12 K13:L13 O13:P13">
    <cfRule type="containsText" dxfId="394" priority="739" operator="containsText" text="X">
      <formula>NOT(ISERROR(SEARCH("X",C12)))</formula>
    </cfRule>
    <cfRule type="containsText" dxfId="393" priority="740" operator="containsText" text="Aus-gleich?">
      <formula>NOT(ISERROR(SEARCH("Aus-gleich?",C12)))</formula>
    </cfRule>
    <cfRule type="containsText" dxfId="392" priority="741" operator="containsText" text="Um-kursen!">
      <formula>NOT(ISERROR(SEARCH("Um-kursen!",C12)))</formula>
    </cfRule>
    <cfRule type="containsText" dxfId="391" priority="742" operator="containsText" text="OK">
      <formula>NOT(ISERROR(SEARCH("OK",C12)))</formula>
    </cfRule>
  </conditionalFormatting>
  <conditionalFormatting sqref="L1">
    <cfRule type="notContainsBlanks" dxfId="390" priority="749">
      <formula>LEN(TRIM(L1))&gt;0</formula>
    </cfRule>
  </conditionalFormatting>
  <conditionalFormatting sqref="C3 E3 G3 I3">
    <cfRule type="cellIs" dxfId="389" priority="716" operator="lessThanOrEqual">
      <formula>4</formula>
    </cfRule>
    <cfRule type="cellIs" dxfId="388" priority="724" operator="greaterThan">
      <formula>4</formula>
    </cfRule>
  </conditionalFormatting>
  <conditionalFormatting sqref="E26:G26">
    <cfRule type="notContainsBlanks" dxfId="387" priority="723">
      <formula>LEN(TRIM(E26))&gt;0</formula>
    </cfRule>
  </conditionalFormatting>
  <conditionalFormatting sqref="H26:J26">
    <cfRule type="notContainsBlanks" dxfId="386" priority="722">
      <formula>LEN(TRIM(H26))&gt;0</formula>
    </cfRule>
  </conditionalFormatting>
  <conditionalFormatting sqref="K26:M26">
    <cfRule type="notContainsBlanks" dxfId="385" priority="721">
      <formula>LEN(TRIM(K26))&gt;0</formula>
    </cfRule>
  </conditionalFormatting>
  <conditionalFormatting sqref="N26:P26">
    <cfRule type="notContainsBlanks" dxfId="384" priority="720">
      <formula>LEN(TRIM(N26))&gt;0</formula>
    </cfRule>
  </conditionalFormatting>
  <conditionalFormatting sqref="B3 D3 F3 H3">
    <cfRule type="containsText" dxfId="383" priority="717" operator="containsText" text="Z">
      <formula>NOT(ISERROR(SEARCH("Z",B3)))</formula>
    </cfRule>
    <cfRule type="containsText" dxfId="382" priority="718" operator="containsText" text="E">
      <formula>NOT(ISERROR(SEARCH("E",B3)))</formula>
    </cfRule>
    <cfRule type="containsText" dxfId="381" priority="719" operator="containsText" text="G">
      <formula>NOT(ISERROR(SEARCH("G",B3)))</formula>
    </cfRule>
  </conditionalFormatting>
  <conditionalFormatting sqref="C12 C14">
    <cfRule type="containsText" dxfId="380" priority="690" operator="containsText" text="X">
      <formula>NOT(ISERROR(SEARCH("X",C12)))</formula>
    </cfRule>
    <cfRule type="containsText" dxfId="379" priority="691" operator="containsText" text="Aus-gleich?">
      <formula>NOT(ISERROR(SEARCH("Aus-gleich?",C12)))</formula>
    </cfRule>
    <cfRule type="containsText" dxfId="378" priority="692" operator="containsText" text="Um-kursen!">
      <formula>NOT(ISERROR(SEARCH("Um-kursen!",C12)))</formula>
    </cfRule>
    <cfRule type="containsText" dxfId="377" priority="693" operator="containsText" text="OK">
      <formula>NOT(ISERROR(SEARCH("OK",C12)))</formula>
    </cfRule>
  </conditionalFormatting>
  <conditionalFormatting sqref="N12 S12:T12 C19 E19">
    <cfRule type="containsText" dxfId="376" priority="625" operator="containsText" text="Aus-gleich!">
      <formula>NOT(ISERROR(SEARCH("Aus-gleich!",C12)))</formula>
    </cfRule>
  </conditionalFormatting>
  <conditionalFormatting sqref="G12">
    <cfRule type="containsText" dxfId="375" priority="617" operator="containsText" text="Aus-gleich!">
      <formula>NOT(ISERROR(SEARCH("Aus-gleich!",G12)))</formula>
    </cfRule>
  </conditionalFormatting>
  <conditionalFormatting sqref="H12">
    <cfRule type="containsText" dxfId="374" priority="613" operator="containsText" text="X">
      <formula>NOT(ISERROR(SEARCH("X",H12)))</formula>
    </cfRule>
    <cfRule type="containsText" dxfId="373" priority="614" operator="containsText" text="Aus-gleich?">
      <formula>NOT(ISERROR(SEARCH("Aus-gleich?",H12)))</formula>
    </cfRule>
    <cfRule type="containsText" dxfId="372" priority="615" operator="containsText" text="Um-kursen!">
      <formula>NOT(ISERROR(SEARCH("Um-kursen!",H12)))</formula>
    </cfRule>
    <cfRule type="containsText" dxfId="371" priority="616" operator="containsText" text="OK">
      <formula>NOT(ISERROR(SEARCH("OK",H12)))</formula>
    </cfRule>
  </conditionalFormatting>
  <conditionalFormatting sqref="H12">
    <cfRule type="containsText" dxfId="370" priority="612" operator="containsText" text="Aus-gleich!">
      <formula>NOT(ISERROR(SEARCH("Aus-gleich!",H12)))</formula>
    </cfRule>
  </conditionalFormatting>
  <conditionalFormatting sqref="F8">
    <cfRule type="notContainsBlanks" dxfId="369" priority="606">
      <formula>LEN(TRIM(F8))&gt;0</formula>
    </cfRule>
  </conditionalFormatting>
  <conditionalFormatting sqref="I12">
    <cfRule type="containsText" dxfId="368" priority="602" operator="containsText" text="X">
      <formula>NOT(ISERROR(SEARCH("X",I12)))</formula>
    </cfRule>
    <cfRule type="containsText" dxfId="367" priority="603" operator="containsText" text="Aus-gleich?">
      <formula>NOT(ISERROR(SEARCH("Aus-gleich?",I12)))</formula>
    </cfRule>
    <cfRule type="containsText" dxfId="366" priority="604" operator="containsText" text="Um-kursen!">
      <formula>NOT(ISERROR(SEARCH("Um-kursen!",I12)))</formula>
    </cfRule>
    <cfRule type="containsText" dxfId="365" priority="605" operator="containsText" text="OK">
      <formula>NOT(ISERROR(SEARCH("OK",I12)))</formula>
    </cfRule>
  </conditionalFormatting>
  <conditionalFormatting sqref="I12">
    <cfRule type="containsText" dxfId="364" priority="601" operator="containsText" text="Aus-gleich!">
      <formula>NOT(ISERROR(SEARCH("Aus-gleich!",I12)))</formula>
    </cfRule>
  </conditionalFormatting>
  <conditionalFormatting sqref="J12">
    <cfRule type="containsText" dxfId="363" priority="597" operator="containsText" text="X">
      <formula>NOT(ISERROR(SEARCH("X",J12)))</formula>
    </cfRule>
    <cfRule type="containsText" dxfId="362" priority="598" operator="containsText" text="Aus-gleich?">
      <formula>NOT(ISERROR(SEARCH("Aus-gleich?",J12)))</formula>
    </cfRule>
    <cfRule type="containsText" dxfId="361" priority="599" operator="containsText" text="Um-kursen!">
      <formula>NOT(ISERROR(SEARCH("Um-kursen!",J12)))</formula>
    </cfRule>
    <cfRule type="containsText" dxfId="360" priority="600" operator="containsText" text="OK">
      <formula>NOT(ISERROR(SEARCH("OK",J12)))</formula>
    </cfRule>
  </conditionalFormatting>
  <conditionalFormatting sqref="J12">
    <cfRule type="containsText" dxfId="359" priority="596" operator="containsText" text="Aus-gleich!">
      <formula>NOT(ISERROR(SEARCH("Aus-gleich!",J12)))</formula>
    </cfRule>
  </conditionalFormatting>
  <conditionalFormatting sqref="C14">
    <cfRule type="containsText" dxfId="358" priority="592" operator="containsText" text="X">
      <formula>NOT(ISERROR(SEARCH("X",C14)))</formula>
    </cfRule>
    <cfRule type="containsText" dxfId="357" priority="593" operator="containsText" text="Aus-gleich?">
      <formula>NOT(ISERROR(SEARCH("Aus-gleich?",C14)))</formula>
    </cfRule>
    <cfRule type="containsText" dxfId="356" priority="594" operator="containsText" text="Um-kursen!">
      <formula>NOT(ISERROR(SEARCH("Um-kursen!",C14)))</formula>
    </cfRule>
    <cfRule type="containsText" dxfId="355" priority="595" operator="containsText" text="OK">
      <formula>NOT(ISERROR(SEARCH("OK",C14)))</formula>
    </cfRule>
  </conditionalFormatting>
  <conditionalFormatting sqref="S12:V12 X12:Y12 C19:E19 C12:P12 C14 K13:L13 O13:P13">
    <cfRule type="containsText" dxfId="354" priority="591" operator="containsText" text="Aus-gleich !">
      <formula>NOT(ISERROR(SEARCH("Aus-gleich !",C12)))</formula>
    </cfRule>
  </conditionalFormatting>
  <conditionalFormatting sqref="P5">
    <cfRule type="endsWith" dxfId="353" priority="585" operator="endsWith" text="Hauptschulabschluss">
      <formula>RIGHT(P5,LEN("Hauptschulabschluss"))="Hauptschulabschluss"</formula>
    </cfRule>
  </conditionalFormatting>
  <conditionalFormatting sqref="P5">
    <cfRule type="beginsWith" dxfId="352" priority="584" operator="beginsWith" text="Kein">
      <formula>LEFT(P5,LEN("Kein"))="Kein"</formula>
    </cfRule>
  </conditionalFormatting>
  <conditionalFormatting sqref="P5:X5">
    <cfRule type="beginsWith" dxfId="351" priority="582" operator="beginsWith" text="erweiterter">
      <formula>LEFT(P5,LEN("erweiterter"))="erweiterter"</formula>
    </cfRule>
    <cfRule type="endsWith" dxfId="350" priority="583" operator="endsWith" text="Realschulabschluss">
      <formula>RIGHT(P5,LEN("Realschulabschluss"))="Realschulabschluss"</formula>
    </cfRule>
  </conditionalFormatting>
  <conditionalFormatting sqref="X2:Y2">
    <cfRule type="cellIs" dxfId="349" priority="714" operator="lessThan">
      <formula>1</formula>
    </cfRule>
    <cfRule type="cellIs" dxfId="348" priority="715" operator="greaterThanOrEqual">
      <formula>1</formula>
    </cfRule>
  </conditionalFormatting>
  <conditionalFormatting sqref="Z2:AA2">
    <cfRule type="cellIs" dxfId="347" priority="580" operator="greaterThanOrEqual">
      <formula>1</formula>
    </cfRule>
    <cfRule type="cellIs" dxfId="346" priority="581" operator="lessThan">
      <formula>1</formula>
    </cfRule>
  </conditionalFormatting>
  <conditionalFormatting sqref="S11:T11 C11:P11 E16 G16:H16 J16:K16 M16:AC16 I21 K21:L21 AH21:AI21 AL21:AM21 Q21:T21">
    <cfRule type="cellIs" dxfId="345" priority="579" operator="equal">
      <formula>0</formula>
    </cfRule>
  </conditionalFormatting>
  <conditionalFormatting sqref="R16">
    <cfRule type="cellIs" dxfId="344" priority="578" operator="equal">
      <formula>0</formula>
    </cfRule>
  </conditionalFormatting>
  <conditionalFormatting sqref="C19">
    <cfRule type="containsText" dxfId="343" priority="574" operator="containsText" text="X">
      <formula>NOT(ISERROR(SEARCH("X",C19)))</formula>
    </cfRule>
    <cfRule type="containsText" dxfId="342" priority="575" operator="containsText" text="Aus-gleich?">
      <formula>NOT(ISERROR(SEARCH("Aus-gleich?",C19)))</formula>
    </cfRule>
    <cfRule type="containsText" dxfId="341" priority="576" operator="containsText" text="Um-kursen!">
      <formula>NOT(ISERROR(SEARCH("Um-kursen!",C19)))</formula>
    </cfRule>
    <cfRule type="containsText" dxfId="340" priority="577" operator="containsText" text="OK">
      <formula>NOT(ISERROR(SEARCH("OK",C19)))</formula>
    </cfRule>
  </conditionalFormatting>
  <conditionalFormatting sqref="C19 E19">
    <cfRule type="containsText" dxfId="339" priority="570" operator="containsText" text="X">
      <formula>NOT(ISERROR(SEARCH("X",C19)))</formula>
    </cfRule>
    <cfRule type="containsText" dxfId="338" priority="571" operator="containsText" text="Aus-gleich?">
      <formula>NOT(ISERROR(SEARCH("Aus-gleich?",C19)))</formula>
    </cfRule>
    <cfRule type="containsText" dxfId="337" priority="572" operator="containsText" text="Um-kursen!">
      <formula>NOT(ISERROR(SEARCH("Um-kursen!",C19)))</formula>
    </cfRule>
    <cfRule type="containsText" dxfId="336" priority="573" operator="containsText" text="OK">
      <formula>NOT(ISERROR(SEARCH("OK",C19)))</formula>
    </cfRule>
  </conditionalFormatting>
  <conditionalFormatting sqref="C19">
    <cfRule type="containsText" dxfId="335" priority="568" operator="containsText" text="Aus-gleich!">
      <formula>NOT(ISERROR(SEARCH("Aus-gleich!",C19)))</formula>
    </cfRule>
  </conditionalFormatting>
  <conditionalFormatting sqref="C16">
    <cfRule type="cellIs" dxfId="334" priority="547" operator="equal">
      <formula>0</formula>
    </cfRule>
  </conditionalFormatting>
  <conditionalFormatting sqref="I16">
    <cfRule type="cellIs" dxfId="333" priority="546" operator="equal">
      <formula>0</formula>
    </cfRule>
  </conditionalFormatting>
  <conditionalFormatting sqref="R11">
    <cfRule type="cellIs" dxfId="332" priority="527" operator="equal">
      <formula>0</formula>
    </cfRule>
  </conditionalFormatting>
  <conditionalFormatting sqref="Q11">
    <cfRule type="cellIs" dxfId="331" priority="528" operator="equal">
      <formula>0</formula>
    </cfRule>
  </conditionalFormatting>
  <conditionalFormatting sqref="X11:Y11">
    <cfRule type="cellIs" dxfId="330" priority="526" operator="equal">
      <formula>0</formula>
    </cfRule>
  </conditionalFormatting>
  <conditionalFormatting sqref="Q12">
    <cfRule type="containsText" dxfId="329" priority="522" operator="containsText" text="X">
      <formula>NOT(ISERROR(SEARCH("X",Q12)))</formula>
    </cfRule>
    <cfRule type="containsText" dxfId="328" priority="523" operator="containsText" text="Aus-gleich?">
      <formula>NOT(ISERROR(SEARCH("Aus-gleich?",Q12)))</formula>
    </cfRule>
    <cfRule type="containsText" dxfId="327" priority="524" operator="containsText" text="Um-kursen!">
      <formula>NOT(ISERROR(SEARCH("Um-kursen!",Q12)))</formula>
    </cfRule>
    <cfRule type="containsText" dxfId="326" priority="525" operator="containsText" text="OK">
      <formula>NOT(ISERROR(SEARCH("OK",Q12)))</formula>
    </cfRule>
  </conditionalFormatting>
  <conditionalFormatting sqref="Q12">
    <cfRule type="containsText" dxfId="325" priority="521" operator="containsText" text="Aus-gleich !">
      <formula>NOT(ISERROR(SEARCH("Aus-gleich !",Q12)))</formula>
    </cfRule>
  </conditionalFormatting>
  <conditionalFormatting sqref="R12">
    <cfRule type="containsText" dxfId="324" priority="516" operator="containsText" text="Aus-gleich !">
      <formula>NOT(ISERROR(SEARCH("Aus-gleich !",R12)))</formula>
    </cfRule>
  </conditionalFormatting>
  <conditionalFormatting sqref="R12">
    <cfRule type="containsText" dxfId="323" priority="517" operator="containsText" text="X">
      <formula>NOT(ISERROR(SEARCH("X",R12)))</formula>
    </cfRule>
    <cfRule type="containsText" dxfId="322" priority="518" operator="containsText" text="Aus-gleich?">
      <formula>NOT(ISERROR(SEARCH("Aus-gleich?",R12)))</formula>
    </cfRule>
    <cfRule type="containsText" dxfId="321" priority="519" operator="containsText" text="Um-kursen!">
      <formula>NOT(ISERROR(SEARCH("Um-kursen!",R12)))</formula>
    </cfRule>
    <cfRule type="containsText" dxfId="320" priority="520" operator="containsText" text="OK">
      <formula>NOT(ISERROR(SEARCH("OK",R12)))</formula>
    </cfRule>
  </conditionalFormatting>
  <conditionalFormatting sqref="U11:V11">
    <cfRule type="cellIs" dxfId="319" priority="515" operator="equal">
      <formula>0</formula>
    </cfRule>
  </conditionalFormatting>
  <conditionalFormatting sqref="W11">
    <cfRule type="cellIs" dxfId="318" priority="504" operator="equal">
      <formula>0</formula>
    </cfRule>
  </conditionalFormatting>
  <conditionalFormatting sqref="W12">
    <cfRule type="containsText" dxfId="317" priority="499" operator="containsText" text="Aus-gleich !">
      <formula>NOT(ISERROR(SEARCH("Aus-gleich !",W12)))</formula>
    </cfRule>
  </conditionalFormatting>
  <conditionalFormatting sqref="W12">
    <cfRule type="containsText" dxfId="316" priority="500" operator="containsText" text="X">
      <formula>NOT(ISERROR(SEARCH("X",W12)))</formula>
    </cfRule>
    <cfRule type="containsText" dxfId="315" priority="501" operator="containsText" text="Aus-gleich?">
      <formula>NOT(ISERROR(SEARCH("Aus-gleich?",W12)))</formula>
    </cfRule>
    <cfRule type="containsText" dxfId="314" priority="502" operator="containsText" text="Um-kursen!">
      <formula>NOT(ISERROR(SEARCH("Um-kursen!",W12)))</formula>
    </cfRule>
    <cfRule type="containsText" dxfId="313" priority="503" operator="containsText" text="OK">
      <formula>NOT(ISERROR(SEARCH("OK",W12)))</formula>
    </cfRule>
  </conditionalFormatting>
  <conditionalFormatting sqref="J3">
    <cfRule type="cellIs" dxfId="312" priority="491" operator="lessThanOrEqual">
      <formula>4</formula>
    </cfRule>
    <cfRule type="cellIs" dxfId="311" priority="492" operator="greaterThan">
      <formula>4</formula>
    </cfRule>
  </conditionalFormatting>
  <conditionalFormatting sqref="D16">
    <cfRule type="cellIs" dxfId="310" priority="488" operator="equal">
      <formula>0</formula>
    </cfRule>
  </conditionalFormatting>
  <conditionalFormatting sqref="C17:K18 Y17 M17:X18 Z17:Z18 AA17:AK17 AI18:AJ18 AA18:AE18 U23:AE23 AH23:AI23">
    <cfRule type="containsText" dxfId="309" priority="479" operator="containsText" text="Aus-gleich?">
      <formula>NOT(ISERROR(SEARCH("Aus-gleich?",C17)))</formula>
    </cfRule>
    <cfRule type="containsText" dxfId="308" priority="480" operator="containsText" text="X">
      <formula>NOT(ISERROR(SEARCH("X",C17)))</formula>
    </cfRule>
    <cfRule type="containsText" dxfId="307" priority="481" operator="containsText" text="Aus- gleich !">
      <formula>NOT(ISERROR(SEARCH("Aus- gleich !",C17)))</formula>
    </cfRule>
    <cfRule type="containsText" dxfId="306" priority="482" operator="containsText" text="OK">
      <formula>NOT(ISERROR(SEARCH("OK",C17)))</formula>
    </cfRule>
  </conditionalFormatting>
  <conditionalFormatting sqref="C17:C18">
    <cfRule type="containsText" dxfId="305" priority="478" operator="containsText" text="Um-kursen!">
      <formula>NOT(ISERROR(SEARCH("Um-kursen!",C17)))</formula>
    </cfRule>
  </conditionalFormatting>
  <conditionalFormatting sqref="F16">
    <cfRule type="cellIs" dxfId="304" priority="476" operator="equal">
      <formula>0</formula>
    </cfRule>
  </conditionalFormatting>
  <conditionalFormatting sqref="AD16">
    <cfRule type="cellIs" dxfId="303" priority="475" operator="equal">
      <formula>0</formula>
    </cfRule>
  </conditionalFormatting>
  <conditionalFormatting sqref="AE16">
    <cfRule type="cellIs" dxfId="302" priority="474" operator="equal">
      <formula>0</formula>
    </cfRule>
  </conditionalFormatting>
  <conditionalFormatting sqref="AG16:AH16">
    <cfRule type="cellIs" dxfId="301" priority="472" operator="equal">
      <formula>0</formula>
    </cfRule>
  </conditionalFormatting>
  <conditionalFormatting sqref="AI16:AL16">
    <cfRule type="cellIs" dxfId="300" priority="470" operator="equal">
      <formula>0</formula>
    </cfRule>
  </conditionalFormatting>
  <conditionalFormatting sqref="AF16">
    <cfRule type="cellIs" dxfId="299" priority="469" operator="equal">
      <formula>0</formula>
    </cfRule>
  </conditionalFormatting>
  <conditionalFormatting sqref="L16">
    <cfRule type="cellIs" dxfId="298" priority="464" operator="equal">
      <formula>0</formula>
    </cfRule>
  </conditionalFormatting>
  <conditionalFormatting sqref="L17">
    <cfRule type="containsText" dxfId="297" priority="460" operator="containsText" text="Aus-gleich?">
      <formula>NOT(ISERROR(SEARCH("Aus-gleich?",L17)))</formula>
    </cfRule>
    <cfRule type="containsText" dxfId="296" priority="461" operator="containsText" text="X">
      <formula>NOT(ISERROR(SEARCH("X",L17)))</formula>
    </cfRule>
    <cfRule type="containsText" dxfId="295" priority="462" operator="containsText" text="Aus- gleich !">
      <formula>NOT(ISERROR(SEARCH("Aus- gleich !",L17)))</formula>
    </cfRule>
    <cfRule type="containsText" dxfId="294" priority="463" operator="containsText" text="OK">
      <formula>NOT(ISERROR(SEARCH("OK",L17)))</formula>
    </cfRule>
  </conditionalFormatting>
  <conditionalFormatting sqref="L18">
    <cfRule type="containsText" dxfId="293" priority="456" operator="containsText" text="Aus-gleich?">
      <formula>NOT(ISERROR(SEARCH("Aus-gleich?",L18)))</formula>
    </cfRule>
    <cfRule type="containsText" dxfId="292" priority="457" operator="containsText" text="X">
      <formula>NOT(ISERROR(SEARCH("X",L18)))</formula>
    </cfRule>
    <cfRule type="containsText" dxfId="291" priority="458" operator="containsText" text="Aus- gleich !">
      <formula>NOT(ISERROR(SEARCH("Aus- gleich !",L18)))</formula>
    </cfRule>
    <cfRule type="containsText" dxfId="290" priority="459" operator="containsText" text="OK">
      <formula>NOT(ISERROR(SEARCH("OK",L18)))</formula>
    </cfRule>
  </conditionalFormatting>
  <conditionalFormatting sqref="Y18">
    <cfRule type="containsText" dxfId="289" priority="447" operator="containsText" text="Aus-gleich?">
      <formula>NOT(ISERROR(SEARCH("Aus-gleich?",Y18)))</formula>
    </cfRule>
    <cfRule type="containsText" dxfId="288" priority="448" operator="containsText" text="X">
      <formula>NOT(ISERROR(SEARCH("X",Y18)))</formula>
    </cfRule>
    <cfRule type="containsText" dxfId="287" priority="449" operator="containsText" text="Aus- gleich !">
      <formula>NOT(ISERROR(SEARCH("Aus- gleich !",Y18)))</formula>
    </cfRule>
    <cfRule type="containsText" dxfId="286" priority="450" operator="containsText" text="OK">
      <formula>NOT(ISERROR(SEARCH("OK",Y18)))</formula>
    </cfRule>
  </conditionalFormatting>
  <conditionalFormatting sqref="E18:F18 L18:M18 Y18:AC18">
    <cfRule type="cellIs" dxfId="285" priority="446" operator="greaterThan">
      <formula>0</formula>
    </cfRule>
  </conditionalFormatting>
  <conditionalFormatting sqref="H18 J18 O18 Q18 U18:X18">
    <cfRule type="cellIs" dxfId="284" priority="445" operator="greaterThan">
      <formula>0</formula>
    </cfRule>
  </conditionalFormatting>
  <conditionalFormatting sqref="D18 I18 K18 P18 R18:T18 AS19">
    <cfRule type="containsText" dxfId="283" priority="444" operator="containsText" text="kein RS-Abschl.">
      <formula>NOT(ISERROR(SEARCH("kein RS-Abschl.",D18)))</formula>
    </cfRule>
  </conditionalFormatting>
  <conditionalFormatting sqref="AD18">
    <cfRule type="cellIs" dxfId="282" priority="443" operator="greaterThan">
      <formula>0</formula>
    </cfRule>
  </conditionalFormatting>
  <conditionalFormatting sqref="AE18">
    <cfRule type="cellIs" dxfId="281" priority="442" operator="greaterThan">
      <formula>0</formula>
    </cfRule>
  </conditionalFormatting>
  <conditionalFormatting sqref="AG18">
    <cfRule type="containsText" dxfId="280" priority="438" operator="containsText" text="Aus-gleich?">
      <formula>NOT(ISERROR(SEARCH("Aus-gleich?",AG18)))</formula>
    </cfRule>
    <cfRule type="containsText" dxfId="279" priority="439" operator="containsText" text="X">
      <formula>NOT(ISERROR(SEARCH("X",AG18)))</formula>
    </cfRule>
    <cfRule type="containsText" dxfId="278" priority="440" operator="containsText" text="Aus- gleich !">
      <formula>NOT(ISERROR(SEARCH("Aus- gleich !",AG18)))</formula>
    </cfRule>
    <cfRule type="containsText" dxfId="277" priority="441" operator="containsText" text="OK">
      <formula>NOT(ISERROR(SEARCH("OK",AG18)))</formula>
    </cfRule>
  </conditionalFormatting>
  <conditionalFormatting sqref="AG18">
    <cfRule type="cellIs" dxfId="276" priority="437" operator="greaterThan">
      <formula>0</formula>
    </cfRule>
  </conditionalFormatting>
  <conditionalFormatting sqref="C13">
    <cfRule type="containsText" dxfId="275" priority="432" operator="containsText" text="Aus-gleich?">
      <formula>NOT(ISERROR(SEARCH("Aus-gleich?",C13)))</formula>
    </cfRule>
    <cfRule type="containsText" dxfId="274" priority="433" operator="containsText" text="X">
      <formula>NOT(ISERROR(SEARCH("X",C13)))</formula>
    </cfRule>
    <cfRule type="containsText" dxfId="273" priority="434" operator="containsText" text="Aus- gleich !">
      <formula>NOT(ISERROR(SEARCH("Aus- gleich !",C13)))</formula>
    </cfRule>
    <cfRule type="containsText" dxfId="272" priority="435" operator="containsText" text="OK">
      <formula>NOT(ISERROR(SEARCH("OK",C13)))</formula>
    </cfRule>
  </conditionalFormatting>
  <conditionalFormatting sqref="C13">
    <cfRule type="containsText" dxfId="271" priority="431" operator="containsText" text="Um-kursen!">
      <formula>NOT(ISERROR(SEARCH("Um-kursen!",C13)))</formula>
    </cfRule>
  </conditionalFormatting>
  <conditionalFormatting sqref="D13">
    <cfRule type="containsText" dxfId="270" priority="427" operator="containsText" text="Aus-gleich?">
      <formula>NOT(ISERROR(SEARCH("Aus-gleich?",D13)))</formula>
    </cfRule>
    <cfRule type="containsText" dxfId="269" priority="428" operator="containsText" text="X">
      <formula>NOT(ISERROR(SEARCH("X",D13)))</formula>
    </cfRule>
    <cfRule type="containsText" dxfId="268" priority="429" operator="containsText" text="Aus- gleich !">
      <formula>NOT(ISERROR(SEARCH("Aus- gleich !",D13)))</formula>
    </cfRule>
    <cfRule type="containsText" dxfId="267" priority="430" operator="containsText" text="OK">
      <formula>NOT(ISERROR(SEARCH("OK",D13)))</formula>
    </cfRule>
  </conditionalFormatting>
  <conditionalFormatting sqref="D13">
    <cfRule type="cellIs" dxfId="266" priority="426" operator="greaterThan">
      <formula>0</formula>
    </cfRule>
  </conditionalFormatting>
  <conditionalFormatting sqref="E13">
    <cfRule type="containsText" dxfId="265" priority="422" operator="containsText" text="Aus-gleich?">
      <formula>NOT(ISERROR(SEARCH("Aus-gleich?",E13)))</formula>
    </cfRule>
    <cfRule type="containsText" dxfId="264" priority="423" operator="containsText" text="X">
      <formula>NOT(ISERROR(SEARCH("X",E13)))</formula>
    </cfRule>
    <cfRule type="containsText" dxfId="263" priority="424" operator="containsText" text="Aus- gleich !">
      <formula>NOT(ISERROR(SEARCH("Aus- gleich !",E13)))</formula>
    </cfRule>
    <cfRule type="containsText" dxfId="262" priority="425" operator="containsText" text="OK">
      <formula>NOT(ISERROR(SEARCH("OK",E13)))</formula>
    </cfRule>
  </conditionalFormatting>
  <conditionalFormatting sqref="E13">
    <cfRule type="cellIs" dxfId="261" priority="421" operator="greaterThan">
      <formula>0</formula>
    </cfRule>
  </conditionalFormatting>
  <conditionalFormatting sqref="F13">
    <cfRule type="containsText" dxfId="260" priority="417" operator="containsText" text="Aus-gleich?">
      <formula>NOT(ISERROR(SEARCH("Aus-gleich?",F13)))</formula>
    </cfRule>
    <cfRule type="containsText" dxfId="259" priority="418" operator="containsText" text="X">
      <formula>NOT(ISERROR(SEARCH("X",F13)))</formula>
    </cfRule>
    <cfRule type="containsText" dxfId="258" priority="419" operator="containsText" text="Aus- gleich !">
      <formula>NOT(ISERROR(SEARCH("Aus- gleich !",F13)))</formula>
    </cfRule>
    <cfRule type="containsText" dxfId="257" priority="420" operator="containsText" text="OK">
      <formula>NOT(ISERROR(SEARCH("OK",F13)))</formula>
    </cfRule>
  </conditionalFormatting>
  <conditionalFormatting sqref="G13">
    <cfRule type="containsText" dxfId="256" priority="413" operator="containsText" text="Aus-gleich?">
      <formula>NOT(ISERROR(SEARCH("Aus-gleich?",G13)))</formula>
    </cfRule>
    <cfRule type="containsText" dxfId="255" priority="414" operator="containsText" text="X">
      <formula>NOT(ISERROR(SEARCH("X",G13)))</formula>
    </cfRule>
    <cfRule type="containsText" dxfId="254" priority="415" operator="containsText" text="Aus- gleich !">
      <formula>NOT(ISERROR(SEARCH("Aus- gleich !",G13)))</formula>
    </cfRule>
    <cfRule type="containsText" dxfId="253" priority="416" operator="containsText" text="OK">
      <formula>NOT(ISERROR(SEARCH("OK",G13)))</formula>
    </cfRule>
  </conditionalFormatting>
  <conditionalFormatting sqref="G13">
    <cfRule type="cellIs" dxfId="252" priority="412" operator="greaterThan">
      <formula>0</formula>
    </cfRule>
  </conditionalFormatting>
  <conditionalFormatting sqref="H13">
    <cfRule type="containsText" dxfId="251" priority="408" operator="containsText" text="Aus-gleich?">
      <formula>NOT(ISERROR(SEARCH("Aus-gleich?",H13)))</formula>
    </cfRule>
    <cfRule type="containsText" dxfId="250" priority="409" operator="containsText" text="X">
      <formula>NOT(ISERROR(SEARCH("X",H13)))</formula>
    </cfRule>
    <cfRule type="containsText" dxfId="249" priority="410" operator="containsText" text="Aus- gleich !">
      <formula>NOT(ISERROR(SEARCH("Aus- gleich !",H13)))</formula>
    </cfRule>
    <cfRule type="containsText" dxfId="248" priority="411" operator="containsText" text="OK">
      <formula>NOT(ISERROR(SEARCH("OK",H13)))</formula>
    </cfRule>
  </conditionalFormatting>
  <conditionalFormatting sqref="H13">
    <cfRule type="containsText" dxfId="247" priority="407" operator="containsText" text="kein RS-Abschl.">
      <formula>NOT(ISERROR(SEARCH("kein RS-Abschl.",H13)))</formula>
    </cfRule>
  </conditionalFormatting>
  <conditionalFormatting sqref="I13">
    <cfRule type="containsText" dxfId="246" priority="403" operator="containsText" text="Aus-gleich?">
      <formula>NOT(ISERROR(SEARCH("Aus-gleich?",I13)))</formula>
    </cfRule>
    <cfRule type="containsText" dxfId="245" priority="404" operator="containsText" text="X">
      <formula>NOT(ISERROR(SEARCH("X",I13)))</formula>
    </cfRule>
    <cfRule type="containsText" dxfId="244" priority="405" operator="containsText" text="Aus- gleich !">
      <formula>NOT(ISERROR(SEARCH("Aus- gleich !",I13)))</formula>
    </cfRule>
    <cfRule type="containsText" dxfId="243" priority="406" operator="containsText" text="OK">
      <formula>NOT(ISERROR(SEARCH("OK",I13)))</formula>
    </cfRule>
  </conditionalFormatting>
  <conditionalFormatting sqref="I13">
    <cfRule type="cellIs" dxfId="242" priority="402" operator="greaterThan">
      <formula>0</formula>
    </cfRule>
  </conditionalFormatting>
  <conditionalFormatting sqref="J13">
    <cfRule type="containsText" dxfId="241" priority="398" operator="containsText" text="Aus-gleich?">
      <formula>NOT(ISERROR(SEARCH("Aus-gleich?",J13)))</formula>
    </cfRule>
    <cfRule type="containsText" dxfId="240" priority="399" operator="containsText" text="X">
      <formula>NOT(ISERROR(SEARCH("X",J13)))</formula>
    </cfRule>
    <cfRule type="containsText" dxfId="239" priority="400" operator="containsText" text="Aus- gleich !">
      <formula>NOT(ISERROR(SEARCH("Aus- gleich !",J13)))</formula>
    </cfRule>
    <cfRule type="containsText" dxfId="238" priority="401" operator="containsText" text="OK">
      <formula>NOT(ISERROR(SEARCH("OK",J13)))</formula>
    </cfRule>
  </conditionalFormatting>
  <conditionalFormatting sqref="J13">
    <cfRule type="containsText" dxfId="237" priority="397" operator="containsText" text="kein RS-Abschl.">
      <formula>NOT(ISERROR(SEARCH("kein RS-Abschl.",J13)))</formula>
    </cfRule>
  </conditionalFormatting>
  <conditionalFormatting sqref="M13">
    <cfRule type="containsText" dxfId="236" priority="393" operator="containsText" text="Aus-gleich?">
      <formula>NOT(ISERROR(SEARCH("Aus-gleich?",M13)))</formula>
    </cfRule>
    <cfRule type="containsText" dxfId="235" priority="394" operator="containsText" text="X">
      <formula>NOT(ISERROR(SEARCH("X",M13)))</formula>
    </cfRule>
    <cfRule type="containsText" dxfId="234" priority="395" operator="containsText" text="Aus- gleich !">
      <formula>NOT(ISERROR(SEARCH("Aus- gleich !",M13)))</formula>
    </cfRule>
    <cfRule type="containsText" dxfId="233" priority="396" operator="containsText" text="OK">
      <formula>NOT(ISERROR(SEARCH("OK",M13)))</formula>
    </cfRule>
  </conditionalFormatting>
  <conditionalFormatting sqref="M13">
    <cfRule type="cellIs" dxfId="232" priority="392" operator="greaterThan">
      <formula>0</formula>
    </cfRule>
  </conditionalFormatting>
  <conditionalFormatting sqref="N13">
    <cfRule type="containsText" dxfId="231" priority="388" operator="containsText" text="Aus-gleich?">
      <formula>NOT(ISERROR(SEARCH("Aus-gleich?",N13)))</formula>
    </cfRule>
    <cfRule type="containsText" dxfId="230" priority="389" operator="containsText" text="X">
      <formula>NOT(ISERROR(SEARCH("X",N13)))</formula>
    </cfRule>
    <cfRule type="containsText" dxfId="229" priority="390" operator="containsText" text="Aus- gleich !">
      <formula>NOT(ISERROR(SEARCH("Aus- gleich !",N13)))</formula>
    </cfRule>
    <cfRule type="containsText" dxfId="228" priority="391" operator="containsText" text="OK">
      <formula>NOT(ISERROR(SEARCH("OK",N13)))</formula>
    </cfRule>
  </conditionalFormatting>
  <conditionalFormatting sqref="N13">
    <cfRule type="cellIs" dxfId="227" priority="387" operator="greaterThan">
      <formula>0</formula>
    </cfRule>
  </conditionalFormatting>
  <conditionalFormatting sqref="Q13">
    <cfRule type="containsText" dxfId="226" priority="383" operator="containsText" text="Aus-gleich?">
      <formula>NOT(ISERROR(SEARCH("Aus-gleich?",Q13)))</formula>
    </cfRule>
    <cfRule type="containsText" dxfId="225" priority="384" operator="containsText" text="X">
      <formula>NOT(ISERROR(SEARCH("X",Q13)))</formula>
    </cfRule>
    <cfRule type="containsText" dxfId="224" priority="385" operator="containsText" text="Aus- gleich !">
      <formula>NOT(ISERROR(SEARCH("Aus- gleich !",Q13)))</formula>
    </cfRule>
    <cfRule type="containsText" dxfId="223" priority="386" operator="containsText" text="OK">
      <formula>NOT(ISERROR(SEARCH("OK",Q13)))</formula>
    </cfRule>
  </conditionalFormatting>
  <conditionalFormatting sqref="Q13">
    <cfRule type="cellIs" dxfId="222" priority="382" operator="greaterThan">
      <formula>0</formula>
    </cfRule>
  </conditionalFormatting>
  <conditionalFormatting sqref="R13">
    <cfRule type="containsText" dxfId="221" priority="378" operator="containsText" text="Aus-gleich?">
      <formula>NOT(ISERROR(SEARCH("Aus-gleich?",R13)))</formula>
    </cfRule>
    <cfRule type="containsText" dxfId="220" priority="379" operator="containsText" text="X">
      <formula>NOT(ISERROR(SEARCH("X",R13)))</formula>
    </cfRule>
    <cfRule type="containsText" dxfId="219" priority="380" operator="containsText" text="Aus- gleich !">
      <formula>NOT(ISERROR(SEARCH("Aus- gleich !",R13)))</formula>
    </cfRule>
    <cfRule type="containsText" dxfId="218" priority="381" operator="containsText" text="OK">
      <formula>NOT(ISERROR(SEARCH("OK",R13)))</formula>
    </cfRule>
  </conditionalFormatting>
  <conditionalFormatting sqref="R13">
    <cfRule type="cellIs" dxfId="217" priority="377" operator="greaterThan">
      <formula>0</formula>
    </cfRule>
  </conditionalFormatting>
  <conditionalFormatting sqref="S13">
    <cfRule type="containsText" dxfId="216" priority="373" operator="containsText" text="Aus-gleich?">
      <formula>NOT(ISERROR(SEARCH("Aus-gleich?",S13)))</formula>
    </cfRule>
    <cfRule type="containsText" dxfId="215" priority="374" operator="containsText" text="X">
      <formula>NOT(ISERROR(SEARCH("X",S13)))</formula>
    </cfRule>
    <cfRule type="containsText" dxfId="214" priority="375" operator="containsText" text="Aus- gleich !">
      <formula>NOT(ISERROR(SEARCH("Aus- gleich !",S13)))</formula>
    </cfRule>
    <cfRule type="containsText" dxfId="213" priority="376" operator="containsText" text="OK">
      <formula>NOT(ISERROR(SEARCH("OK",S13)))</formula>
    </cfRule>
  </conditionalFormatting>
  <conditionalFormatting sqref="S13">
    <cfRule type="cellIs" dxfId="212" priority="372" operator="greaterThan">
      <formula>0</formula>
    </cfRule>
  </conditionalFormatting>
  <conditionalFormatting sqref="T13">
    <cfRule type="containsText" dxfId="211" priority="368" operator="containsText" text="Aus-gleich?">
      <formula>NOT(ISERROR(SEARCH("Aus-gleich?",T13)))</formula>
    </cfRule>
    <cfRule type="containsText" dxfId="210" priority="369" operator="containsText" text="X">
      <formula>NOT(ISERROR(SEARCH("X",T13)))</formula>
    </cfRule>
    <cfRule type="containsText" dxfId="209" priority="370" operator="containsText" text="Aus- gleich !">
      <formula>NOT(ISERROR(SEARCH("Aus- gleich !",T13)))</formula>
    </cfRule>
    <cfRule type="containsText" dxfId="208" priority="371" operator="containsText" text="OK">
      <formula>NOT(ISERROR(SEARCH("OK",T13)))</formula>
    </cfRule>
  </conditionalFormatting>
  <conditionalFormatting sqref="T13">
    <cfRule type="cellIs" dxfId="207" priority="367" operator="greaterThan">
      <formula>0</formula>
    </cfRule>
  </conditionalFormatting>
  <conditionalFormatting sqref="U13">
    <cfRule type="containsText" dxfId="206" priority="363" operator="containsText" text="Aus-gleich?">
      <formula>NOT(ISERROR(SEARCH("Aus-gleich?",U13)))</formula>
    </cfRule>
    <cfRule type="containsText" dxfId="205" priority="364" operator="containsText" text="X">
      <formula>NOT(ISERROR(SEARCH("X",U13)))</formula>
    </cfRule>
    <cfRule type="containsText" dxfId="204" priority="365" operator="containsText" text="Aus- gleich !">
      <formula>NOT(ISERROR(SEARCH("Aus- gleich !",U13)))</formula>
    </cfRule>
    <cfRule type="containsText" dxfId="203" priority="366" operator="containsText" text="OK">
      <formula>NOT(ISERROR(SEARCH("OK",U13)))</formula>
    </cfRule>
  </conditionalFormatting>
  <conditionalFormatting sqref="U13">
    <cfRule type="cellIs" dxfId="202" priority="362" operator="greaterThan">
      <formula>0</formula>
    </cfRule>
  </conditionalFormatting>
  <conditionalFormatting sqref="V13">
    <cfRule type="containsText" dxfId="201" priority="358" operator="containsText" text="Aus-gleich?">
      <formula>NOT(ISERROR(SEARCH("Aus-gleich?",V13)))</formula>
    </cfRule>
    <cfRule type="containsText" dxfId="200" priority="359" operator="containsText" text="X">
      <formula>NOT(ISERROR(SEARCH("X",V13)))</formula>
    </cfRule>
    <cfRule type="containsText" dxfId="199" priority="360" operator="containsText" text="Aus- gleich !">
      <formula>NOT(ISERROR(SEARCH("Aus- gleich !",V13)))</formula>
    </cfRule>
    <cfRule type="containsText" dxfId="198" priority="361" operator="containsText" text="OK">
      <formula>NOT(ISERROR(SEARCH("OK",V13)))</formula>
    </cfRule>
  </conditionalFormatting>
  <conditionalFormatting sqref="V13">
    <cfRule type="cellIs" dxfId="197" priority="357" operator="greaterThan">
      <formula>0</formula>
    </cfRule>
  </conditionalFormatting>
  <conditionalFormatting sqref="W13:Y13">
    <cfRule type="containsText" dxfId="196" priority="352" operator="containsText" text="Aus-gleich !">
      <formula>NOT(ISERROR(SEARCH("Aus-gleich !",W13)))</formula>
    </cfRule>
  </conditionalFormatting>
  <conditionalFormatting sqref="W13:Y13">
    <cfRule type="containsText" dxfId="195" priority="353" operator="containsText" text="X">
      <formula>NOT(ISERROR(SEARCH("X",W13)))</formula>
    </cfRule>
    <cfRule type="containsText" dxfId="194" priority="354" operator="containsText" text="Aus-gleich?">
      <formula>NOT(ISERROR(SEARCH("Aus-gleich?",W13)))</formula>
    </cfRule>
    <cfRule type="containsText" dxfId="193" priority="355" operator="containsText" text="Um-kursen!">
      <formula>NOT(ISERROR(SEARCH("Um-kursen!",W13)))</formula>
    </cfRule>
    <cfRule type="containsText" dxfId="192" priority="356" operator="containsText" text="OK">
      <formula>NOT(ISERROR(SEARCH("OK",W13)))</formula>
    </cfRule>
  </conditionalFormatting>
  <conditionalFormatting sqref="H13:J13">
    <cfRule type="containsText" dxfId="191" priority="351" operator="containsText" text="kein HS-Abschl.">
      <formula>NOT(ISERROR(SEARCH("kein HS-Abschl.",H13)))</formula>
    </cfRule>
  </conditionalFormatting>
  <conditionalFormatting sqref="AF18">
    <cfRule type="cellIs" dxfId="190" priority="344" operator="greaterThanOrEqual">
      <formula>1</formula>
    </cfRule>
  </conditionalFormatting>
  <conditionalFormatting sqref="AL17">
    <cfRule type="containsText" dxfId="189" priority="340" operator="containsText" text="Aus-gleich?">
      <formula>NOT(ISERROR(SEARCH("Aus-gleich?",AL17)))</formula>
    </cfRule>
    <cfRule type="containsText" dxfId="188" priority="341" operator="containsText" text="X">
      <formula>NOT(ISERROR(SEARCH("X",AL17)))</formula>
    </cfRule>
    <cfRule type="containsText" dxfId="187" priority="342" operator="containsText" text="Aus- gleich !">
      <formula>NOT(ISERROR(SEARCH("Aus- gleich !",AL17)))</formula>
    </cfRule>
    <cfRule type="containsText" dxfId="186" priority="343" operator="containsText" text="OK">
      <formula>NOT(ISERROR(SEARCH("OK",AL17)))</formula>
    </cfRule>
  </conditionalFormatting>
  <conditionalFormatting sqref="Z12">
    <cfRule type="containsText" dxfId="185" priority="320" operator="containsText" text="X">
      <formula>NOT(ISERROR(SEARCH("X",Z12)))</formula>
    </cfRule>
    <cfRule type="containsText" dxfId="184" priority="321" operator="containsText" text="Aus-gleich?">
      <formula>NOT(ISERROR(SEARCH("Aus-gleich?",Z12)))</formula>
    </cfRule>
    <cfRule type="containsText" dxfId="183" priority="322" operator="containsText" text="Um-kursen!">
      <formula>NOT(ISERROR(SEARCH("Um-kursen!",Z12)))</formula>
    </cfRule>
    <cfRule type="containsText" dxfId="182" priority="323" operator="containsText" text="OK">
      <formula>NOT(ISERROR(SEARCH("OK",Z12)))</formula>
    </cfRule>
  </conditionalFormatting>
  <conditionalFormatting sqref="Z12">
    <cfRule type="containsText" dxfId="181" priority="319" operator="containsText" text="Aus-gleich !">
      <formula>NOT(ISERROR(SEARCH("Aus-gleich !",Z12)))</formula>
    </cfRule>
  </conditionalFormatting>
  <conditionalFormatting sqref="AA11">
    <cfRule type="cellIs" dxfId="180" priority="334" operator="equal">
      <formula>0</formula>
    </cfRule>
  </conditionalFormatting>
  <conditionalFormatting sqref="AA13">
    <cfRule type="containsText" dxfId="179" priority="329" operator="containsText" text="Aus-gleich !">
      <formula>NOT(ISERROR(SEARCH("Aus-gleich !",AA13)))</formula>
    </cfRule>
  </conditionalFormatting>
  <conditionalFormatting sqref="AA13">
    <cfRule type="containsText" dxfId="178" priority="330" operator="containsText" text="X">
      <formula>NOT(ISERROR(SEARCH("X",AA13)))</formula>
    </cfRule>
    <cfRule type="containsText" dxfId="177" priority="331" operator="containsText" text="Aus-gleich?">
      <formula>NOT(ISERROR(SEARCH("Aus-gleich?",AA13)))</formula>
    </cfRule>
    <cfRule type="containsText" dxfId="176" priority="332" operator="containsText" text="Um-kursen!">
      <formula>NOT(ISERROR(SEARCH("Um-kursen!",AA13)))</formula>
    </cfRule>
    <cfRule type="containsText" dxfId="175" priority="333" operator="containsText" text="OK">
      <formula>NOT(ISERROR(SEARCH("OK",AA13)))</formula>
    </cfRule>
  </conditionalFormatting>
  <conditionalFormatting sqref="AA12">
    <cfRule type="containsText" dxfId="174" priority="325" operator="containsText" text="X">
      <formula>NOT(ISERROR(SEARCH("X",AA12)))</formula>
    </cfRule>
    <cfRule type="containsText" dxfId="173" priority="326" operator="containsText" text="Aus-gleich?">
      <formula>NOT(ISERROR(SEARCH("Aus-gleich?",AA12)))</formula>
    </cfRule>
    <cfRule type="containsText" dxfId="172" priority="327" operator="containsText" text="Um-kursen!">
      <formula>NOT(ISERROR(SEARCH("Um-kursen!",AA12)))</formula>
    </cfRule>
    <cfRule type="containsText" dxfId="171" priority="328" operator="containsText" text="OK">
      <formula>NOT(ISERROR(SEARCH("OK",AA12)))</formula>
    </cfRule>
  </conditionalFormatting>
  <conditionalFormatting sqref="AA12">
    <cfRule type="containsText" dxfId="170" priority="324" operator="containsText" text="Aus-gleich !">
      <formula>NOT(ISERROR(SEARCH("Aus-gleich !",AA12)))</formula>
    </cfRule>
  </conditionalFormatting>
  <conditionalFormatting sqref="Z11">
    <cfRule type="cellIs" dxfId="169" priority="318" operator="equal">
      <formula>0</formula>
    </cfRule>
  </conditionalFormatting>
  <conditionalFormatting sqref="Z13">
    <cfRule type="containsText" dxfId="168" priority="313" operator="containsText" text="Aus-gleich !">
      <formula>NOT(ISERROR(SEARCH("Aus-gleich !",Z13)))</formula>
    </cfRule>
  </conditionalFormatting>
  <conditionalFormatting sqref="Z13">
    <cfRule type="containsText" dxfId="167" priority="314" operator="containsText" text="X">
      <formula>NOT(ISERROR(SEARCH("X",Z13)))</formula>
    </cfRule>
    <cfRule type="containsText" dxfId="166" priority="315" operator="containsText" text="Aus-gleich?">
      <formula>NOT(ISERROR(SEARCH("Aus-gleich?",Z13)))</formula>
    </cfRule>
    <cfRule type="containsText" dxfId="165" priority="316" operator="containsText" text="Um-kursen!">
      <formula>NOT(ISERROR(SEARCH("Um-kursen!",Z13)))</formula>
    </cfRule>
    <cfRule type="containsText" dxfId="164" priority="317" operator="containsText" text="OK">
      <formula>NOT(ISERROR(SEARCH("OK",Z13)))</formula>
    </cfRule>
  </conditionalFormatting>
  <conditionalFormatting sqref="AH21">
    <cfRule type="cellIs" dxfId="163" priority="310" operator="equal">
      <formula>0</formula>
    </cfRule>
  </conditionalFormatting>
  <conditionalFormatting sqref="C21">
    <cfRule type="cellIs" dxfId="162" priority="309" operator="equal">
      <formula>0</formula>
    </cfRule>
  </conditionalFormatting>
  <conditionalFormatting sqref="J21">
    <cfRule type="cellIs" dxfId="161" priority="308" operator="equal">
      <formula>0</formula>
    </cfRule>
  </conditionalFormatting>
  <conditionalFormatting sqref="I23:L23 S22:T23 C22:C23 AH22:AI22 AS19 F22:H22 K22:L22">
    <cfRule type="containsText" dxfId="160" priority="303" operator="containsText" text="Aus-gleich?">
      <formula>NOT(ISERROR(SEARCH("Aus-gleich?",C19)))</formula>
    </cfRule>
    <cfRule type="containsText" dxfId="159" priority="304" operator="containsText" text="X">
      <formula>NOT(ISERROR(SEARCH("X",C19)))</formula>
    </cfRule>
    <cfRule type="containsText" dxfId="158" priority="305" operator="containsText" text="Aus- gleich !">
      <formula>NOT(ISERROR(SEARCH("Aus- gleich !",C19)))</formula>
    </cfRule>
    <cfRule type="containsText" dxfId="157" priority="306" operator="containsText" text="OK">
      <formula>NOT(ISERROR(SEARCH("OK",C19)))</formula>
    </cfRule>
  </conditionalFormatting>
  <conditionalFormatting sqref="C22:C23">
    <cfRule type="containsText" dxfId="156" priority="302" operator="containsText" text="Um-kursen!">
      <formula>NOT(ISERROR(SEARCH("Um-kursen!",C22)))</formula>
    </cfRule>
  </conditionalFormatting>
  <conditionalFormatting sqref="M21:P21">
    <cfRule type="cellIs" dxfId="155" priority="300" operator="equal">
      <formula>0</formula>
    </cfRule>
  </conditionalFormatting>
  <conditionalFormatting sqref="J23 L23 S23">
    <cfRule type="containsText" dxfId="154" priority="285" operator="containsText" text="kein RS-Abschl.">
      <formula>NOT(ISERROR(SEARCH("kein RS-Abschl.",J23)))</formula>
    </cfRule>
  </conditionalFormatting>
  <conditionalFormatting sqref="M22">
    <cfRule type="containsText" dxfId="153" priority="281" operator="containsText" text="Aus-gleich?">
      <formula>NOT(ISERROR(SEARCH("Aus-gleich?",M22)))</formula>
    </cfRule>
    <cfRule type="containsText" dxfId="152" priority="282" operator="containsText" text="X">
      <formula>NOT(ISERROR(SEARCH("X",M22)))</formula>
    </cfRule>
    <cfRule type="containsText" dxfId="151" priority="283" operator="containsText" text="Aus- gleich !">
      <formula>NOT(ISERROR(SEARCH("Aus- gleich !",M22)))</formula>
    </cfRule>
    <cfRule type="containsText" dxfId="150" priority="284" operator="containsText" text="OK">
      <formula>NOT(ISERROR(SEARCH("OK",M22)))</formula>
    </cfRule>
  </conditionalFormatting>
  <conditionalFormatting sqref="H23">
    <cfRule type="containsText" dxfId="149" priority="277" operator="containsText" text="Aus-gleich?">
      <formula>NOT(ISERROR(SEARCH("Aus-gleich?",H23)))</formula>
    </cfRule>
    <cfRule type="containsText" dxfId="148" priority="278" operator="containsText" text="X">
      <formula>NOT(ISERROR(SEARCH("X",H23)))</formula>
    </cfRule>
    <cfRule type="containsText" dxfId="147" priority="279" operator="containsText" text="Aus- gleich !">
      <formula>NOT(ISERROR(SEARCH("Aus- gleich !",H23)))</formula>
    </cfRule>
    <cfRule type="containsText" dxfId="146" priority="280" operator="containsText" text="OK">
      <formula>NOT(ISERROR(SEARCH("OK",H23)))</formula>
    </cfRule>
  </conditionalFormatting>
  <conditionalFormatting sqref="F21:H21">
    <cfRule type="cellIs" dxfId="145" priority="270" operator="equal">
      <formula>0</formula>
    </cfRule>
  </conditionalFormatting>
  <conditionalFormatting sqref="F23">
    <cfRule type="containsText" dxfId="144" priority="266" operator="containsText" text="Aus-gleich?">
      <formula>NOT(ISERROR(SEARCH("Aus-gleich?",F23)))</formula>
    </cfRule>
    <cfRule type="containsText" dxfId="143" priority="267" operator="containsText" text="X">
      <formula>NOT(ISERROR(SEARCH("X",F23)))</formula>
    </cfRule>
    <cfRule type="containsText" dxfId="142" priority="268" operator="containsText" text="Aus- gleich !">
      <formula>NOT(ISERROR(SEARCH("Aus- gleich !",F23)))</formula>
    </cfRule>
    <cfRule type="containsText" dxfId="141" priority="269" operator="containsText" text="OK">
      <formula>NOT(ISERROR(SEARCH("OK",F23)))</formula>
    </cfRule>
  </conditionalFormatting>
  <conditionalFormatting sqref="G23">
    <cfRule type="containsText" dxfId="140" priority="261" operator="containsText" text="Aus-gleich?">
      <formula>NOT(ISERROR(SEARCH("Aus-gleich?",G23)))</formula>
    </cfRule>
    <cfRule type="containsText" dxfId="139" priority="262" operator="containsText" text="X">
      <formula>NOT(ISERROR(SEARCH("X",G23)))</formula>
    </cfRule>
    <cfRule type="containsText" dxfId="138" priority="263" operator="containsText" text="Aus- gleich !">
      <formula>NOT(ISERROR(SEARCH("Aus- gleich !",G23)))</formula>
    </cfRule>
    <cfRule type="containsText" dxfId="137" priority="264" operator="containsText" text="OK">
      <formula>NOT(ISERROR(SEARCH("OK",G23)))</formula>
    </cfRule>
  </conditionalFormatting>
  <conditionalFormatting sqref="N23:O23">
    <cfRule type="containsText" dxfId="136" priority="254" operator="containsText" text="Aus-gleich?">
      <formula>NOT(ISERROR(SEARCH("Aus-gleich?",N23)))</formula>
    </cfRule>
    <cfRule type="containsText" dxfId="135" priority="255" operator="containsText" text="X">
      <formula>NOT(ISERROR(SEARCH("X",N23)))</formula>
    </cfRule>
    <cfRule type="containsText" dxfId="134" priority="256" operator="containsText" text="Aus- gleich !">
      <formula>NOT(ISERROR(SEARCH("Aus- gleich !",N23)))</formula>
    </cfRule>
    <cfRule type="containsText" dxfId="133" priority="257" operator="containsText" text="OK">
      <formula>NOT(ISERROR(SEARCH("OK",N23)))</formula>
    </cfRule>
  </conditionalFormatting>
  <conditionalFormatting sqref="N22:P22">
    <cfRule type="containsText" dxfId="132" priority="250" operator="containsText" text="Aus-gleich?">
      <formula>NOT(ISERROR(SEARCH("Aus-gleich?",N22)))</formula>
    </cfRule>
    <cfRule type="containsText" dxfId="131" priority="251" operator="containsText" text="X">
      <formula>NOT(ISERROR(SEARCH("X",N22)))</formula>
    </cfRule>
    <cfRule type="containsText" dxfId="130" priority="252" operator="containsText" text="Aus- gleich !">
      <formula>NOT(ISERROR(SEARCH("Aus- gleich !",N22)))</formula>
    </cfRule>
    <cfRule type="containsText" dxfId="129" priority="253" operator="containsText" text="OK">
      <formula>NOT(ISERROR(SEARCH("OK",N22)))</formula>
    </cfRule>
  </conditionalFormatting>
  <conditionalFormatting sqref="D21">
    <cfRule type="cellIs" dxfId="128" priority="249" operator="equal">
      <formula>0</formula>
    </cfRule>
  </conditionalFormatting>
  <conditionalFormatting sqref="D23">
    <cfRule type="containsText" dxfId="127" priority="245" operator="containsText" text="Aus-gleich?">
      <formula>NOT(ISERROR(SEARCH("Aus-gleich?",D23)))</formula>
    </cfRule>
    <cfRule type="containsText" dxfId="126" priority="246" operator="containsText" text="X">
      <formula>NOT(ISERROR(SEARCH("X",D23)))</formula>
    </cfRule>
    <cfRule type="containsText" dxfId="125" priority="247" operator="containsText" text="Aus- gleich !">
      <formula>NOT(ISERROR(SEARCH("Aus- gleich !",D23)))</formula>
    </cfRule>
    <cfRule type="containsText" dxfId="124" priority="248" operator="containsText" text="OK">
      <formula>NOT(ISERROR(SEARCH("OK",D23)))</formula>
    </cfRule>
  </conditionalFormatting>
  <conditionalFormatting sqref="D23">
    <cfRule type="containsText" dxfId="123" priority="244" operator="containsText" text="kein erw. RS.">
      <formula>NOT(ISERROR(SEARCH("kein erw. RS.",D23)))</formula>
    </cfRule>
  </conditionalFormatting>
  <conditionalFormatting sqref="D22">
    <cfRule type="containsText" dxfId="122" priority="240" operator="containsText" text="Aus-gleich?">
      <formula>NOT(ISERROR(SEARCH("Aus-gleich?",D22)))</formula>
    </cfRule>
    <cfRule type="containsText" dxfId="121" priority="241" operator="containsText" text="X">
      <formula>NOT(ISERROR(SEARCH("X",D22)))</formula>
    </cfRule>
    <cfRule type="containsText" dxfId="120" priority="242" operator="containsText" text="Aus- gleich !">
      <formula>NOT(ISERROR(SEARCH("Aus- gleich !",D22)))</formula>
    </cfRule>
    <cfRule type="containsText" dxfId="119" priority="243" operator="containsText" text="OK">
      <formula>NOT(ISERROR(SEARCH("OK",D22)))</formula>
    </cfRule>
  </conditionalFormatting>
  <conditionalFormatting sqref="P23">
    <cfRule type="containsText" dxfId="118" priority="235" operator="containsText" text="Aus-gleich?">
      <formula>NOT(ISERROR(SEARCH("Aus-gleich?",P23)))</formula>
    </cfRule>
    <cfRule type="containsText" dxfId="117" priority="236" operator="containsText" text="X">
      <formula>NOT(ISERROR(SEARCH("X",P23)))</formula>
    </cfRule>
    <cfRule type="containsText" dxfId="116" priority="237" operator="containsText" text="Aus- gleich !">
      <formula>NOT(ISERROR(SEARCH("Aus- gleich !",P23)))</formula>
    </cfRule>
    <cfRule type="containsText" dxfId="115" priority="238" operator="containsText" text="OK">
      <formula>NOT(ISERROR(SEARCH("OK",P23)))</formula>
    </cfRule>
  </conditionalFormatting>
  <conditionalFormatting sqref="E21">
    <cfRule type="cellIs" dxfId="114" priority="234" operator="equal">
      <formula>0</formula>
    </cfRule>
  </conditionalFormatting>
  <conditionalFormatting sqref="E22">
    <cfRule type="containsText" dxfId="113" priority="225" operator="containsText" text="Aus-gleich?">
      <formula>NOT(ISERROR(SEARCH("Aus-gleich?",E22)))</formula>
    </cfRule>
    <cfRule type="containsText" dxfId="112" priority="226" operator="containsText" text="X">
      <formula>NOT(ISERROR(SEARCH("X",E22)))</formula>
    </cfRule>
    <cfRule type="containsText" dxfId="111" priority="227" operator="containsText" text="Aus- gleich !">
      <formula>NOT(ISERROR(SEARCH("Aus- gleich !",E22)))</formula>
    </cfRule>
    <cfRule type="containsText" dxfId="110" priority="228" operator="containsText" text="OK">
      <formula>NOT(ISERROR(SEARCH("OK",E22)))</formula>
    </cfRule>
  </conditionalFormatting>
  <conditionalFormatting sqref="U21:Y21">
    <cfRule type="cellIs" dxfId="109" priority="210" operator="equal">
      <formula>0</formula>
    </cfRule>
  </conditionalFormatting>
  <conditionalFormatting sqref="Z21:AA21">
    <cfRule type="cellIs" dxfId="108" priority="213" operator="equal">
      <formula>0</formula>
    </cfRule>
  </conditionalFormatting>
  <conditionalFormatting sqref="AB21:AE21">
    <cfRule type="cellIs" dxfId="107" priority="211" operator="equal">
      <formula>0</formula>
    </cfRule>
  </conditionalFormatting>
  <conditionalFormatting sqref="AK23">
    <cfRule type="containsText" dxfId="106" priority="170" operator="containsText" text="Aus-gleich?">
      <formula>NOT(ISERROR(SEARCH("Aus-gleich?",AK23)))</formula>
    </cfRule>
    <cfRule type="containsText" dxfId="105" priority="171" operator="containsText" text="X">
      <formula>NOT(ISERROR(SEARCH("X",AK23)))</formula>
    </cfRule>
    <cfRule type="containsText" dxfId="104" priority="172" operator="containsText" text="Aus- gleich !">
      <formula>NOT(ISERROR(SEARCH("Aus- gleich !",AK23)))</formula>
    </cfRule>
    <cfRule type="containsText" dxfId="103" priority="173" operator="containsText" text="OK">
      <formula>NOT(ISERROR(SEARCH("OK",AK23)))</formula>
    </cfRule>
  </conditionalFormatting>
  <conditionalFormatting sqref="AL22:AM23">
    <cfRule type="containsText" dxfId="102" priority="187" operator="containsText" text="Aus-gleich?">
      <formula>NOT(ISERROR(SEARCH("Aus-gleich?",AL22)))</formula>
    </cfRule>
    <cfRule type="containsText" dxfId="101" priority="188" operator="containsText" text="X">
      <formula>NOT(ISERROR(SEARCH("X",AL22)))</formula>
    </cfRule>
    <cfRule type="containsText" dxfId="100" priority="189" operator="containsText" text="Aus- gleich !">
      <formula>NOT(ISERROR(SEARCH("Aus- gleich !",AL22)))</formula>
    </cfRule>
    <cfRule type="containsText" dxfId="99" priority="190" operator="containsText" text="OK">
      <formula>NOT(ISERROR(SEARCH("OK",AL22)))</formula>
    </cfRule>
  </conditionalFormatting>
  <conditionalFormatting sqref="AK21">
    <cfRule type="cellIs" dxfId="98" priority="186" operator="equal">
      <formula>0</formula>
    </cfRule>
  </conditionalFormatting>
  <conditionalFormatting sqref="AL23">
    <cfRule type="containsText" dxfId="97" priority="184" operator="containsText" text="kein RS-Abschl.">
      <formula>NOT(ISERROR(SEARCH("kein RS-Abschl.",AL23)))</formula>
    </cfRule>
  </conditionalFormatting>
  <conditionalFormatting sqref="AJ23">
    <cfRule type="containsText" dxfId="96" priority="179" operator="containsText" text="Aus-gleich?">
      <formula>NOT(ISERROR(SEARCH("Aus-gleich?",AJ23)))</formula>
    </cfRule>
    <cfRule type="containsText" dxfId="95" priority="180" operator="containsText" text="X">
      <formula>NOT(ISERROR(SEARCH("X",AJ23)))</formula>
    </cfRule>
    <cfRule type="containsText" dxfId="94" priority="181" operator="containsText" text="Aus- gleich !">
      <formula>NOT(ISERROR(SEARCH("Aus- gleich !",AJ23)))</formula>
    </cfRule>
    <cfRule type="containsText" dxfId="93" priority="182" operator="containsText" text="OK">
      <formula>NOT(ISERROR(SEARCH("OK",AJ23)))</formula>
    </cfRule>
  </conditionalFormatting>
  <conditionalFormatting sqref="AJ22:AK22">
    <cfRule type="containsText" dxfId="92" priority="175" operator="containsText" text="Aus-gleich?">
      <formula>NOT(ISERROR(SEARCH("Aus-gleich?",AJ22)))</formula>
    </cfRule>
    <cfRule type="containsText" dxfId="91" priority="176" operator="containsText" text="X">
      <formula>NOT(ISERROR(SEARCH("X",AJ22)))</formula>
    </cfRule>
    <cfRule type="containsText" dxfId="90" priority="177" operator="containsText" text="Aus- gleich !">
      <formula>NOT(ISERROR(SEARCH("Aus- gleich !",AJ22)))</formula>
    </cfRule>
    <cfRule type="containsText" dxfId="89" priority="178" operator="containsText" text="OK">
      <formula>NOT(ISERROR(SEARCH("OK",AJ22)))</formula>
    </cfRule>
  </conditionalFormatting>
  <conditionalFormatting sqref="C22:H22 K22:P22 S22:T22 AH22:AM22">
    <cfRule type="containsText" dxfId="88" priority="141" operator="containsText" text="Aus- gleich !">
      <formula>NOT(ISERROR(SEARCH("Aus- gleich !",C22)))</formula>
    </cfRule>
  </conditionalFormatting>
  <conditionalFormatting sqref="I23">
    <cfRule type="containsText" dxfId="87" priority="133" operator="containsText" text="Mindest-anforder.">
      <formula>NOT(ISERROR(SEARCH("Mindest-anforder.",I23)))</formula>
    </cfRule>
  </conditionalFormatting>
  <conditionalFormatting sqref="M23">
    <cfRule type="containsText" dxfId="86" priority="124" operator="containsText" text="Aus-gleich?">
      <formula>NOT(ISERROR(SEARCH("Aus-gleich?",M23)))</formula>
    </cfRule>
    <cfRule type="containsText" dxfId="85" priority="125" operator="containsText" text="X">
      <formula>NOT(ISERROR(SEARCH("X",M23)))</formula>
    </cfRule>
    <cfRule type="containsText" dxfId="84" priority="126" operator="containsText" text="Aus- gleich !">
      <formula>NOT(ISERROR(SEARCH("Aus- gleich !",M23)))</formula>
    </cfRule>
    <cfRule type="containsText" dxfId="83" priority="127" operator="containsText" text="OK">
      <formula>NOT(ISERROR(SEARCH("OK",M23)))</formula>
    </cfRule>
  </conditionalFormatting>
  <conditionalFormatting sqref="J22">
    <cfRule type="containsText" dxfId="82" priority="86" operator="containsText" text="Aus-gleich?">
      <formula>NOT(ISERROR(SEARCH("Aus-gleich?",J22)))</formula>
    </cfRule>
    <cfRule type="containsText" dxfId="81" priority="87" operator="containsText" text="X">
      <formula>NOT(ISERROR(SEARCH("X",J22)))</formula>
    </cfRule>
    <cfRule type="containsText" dxfId="80" priority="88" operator="containsText" text="Aus- gleich !">
      <formula>NOT(ISERROR(SEARCH("Aus- gleich !",J22)))</formula>
    </cfRule>
    <cfRule type="containsText" dxfId="79" priority="89" operator="containsText" text="OK">
      <formula>NOT(ISERROR(SEARCH("OK",J22)))</formula>
    </cfRule>
  </conditionalFormatting>
  <conditionalFormatting sqref="J22">
    <cfRule type="containsText" dxfId="78" priority="85" operator="containsText" text="Aus- gleich !">
      <formula>NOT(ISERROR(SEARCH("Aus- gleich !",J22)))</formula>
    </cfRule>
  </conditionalFormatting>
  <conditionalFormatting sqref="M22">
    <cfRule type="containsText" dxfId="77" priority="81" operator="containsText" text="Aus-gleich?">
      <formula>NOT(ISERROR(SEARCH("Aus-gleich?",M22)))</formula>
    </cfRule>
    <cfRule type="containsText" dxfId="76" priority="82" operator="containsText" text="X">
      <formula>NOT(ISERROR(SEARCH("X",M22)))</formula>
    </cfRule>
    <cfRule type="containsText" dxfId="75" priority="83" operator="containsText" text="Aus- gleich !">
      <formula>NOT(ISERROR(SEARCH("Aus- gleich !",M22)))</formula>
    </cfRule>
    <cfRule type="containsText" dxfId="74" priority="84" operator="containsText" text="OK">
      <formula>NOT(ISERROR(SEARCH("OK",M22)))</formula>
    </cfRule>
  </conditionalFormatting>
  <conditionalFormatting sqref="E23">
    <cfRule type="containsText" dxfId="73" priority="72" operator="containsText" text="Aus-gleich?">
      <formula>NOT(ISERROR(SEARCH("Aus-gleich?",E23)))</formula>
    </cfRule>
    <cfRule type="containsText" dxfId="72" priority="73" operator="containsText" text="X">
      <formula>NOT(ISERROR(SEARCH("X",E23)))</formula>
    </cfRule>
    <cfRule type="containsText" dxfId="71" priority="74" operator="containsText" text="Aus- gleich !">
      <formula>NOT(ISERROR(SEARCH("Aus- gleich !",E23)))</formula>
    </cfRule>
    <cfRule type="containsText" dxfId="70" priority="75" operator="containsText" text="OK">
      <formula>NOT(ISERROR(SEARCH("OK",E23)))</formula>
    </cfRule>
  </conditionalFormatting>
  <conditionalFormatting sqref="AH23:AI23 D23:P23 S23:AE23">
    <cfRule type="containsText" dxfId="69" priority="71" operator="containsText" text="kein erw. RS">
      <formula>NOT(ISERROR(SEARCH("kein erw. RS",D23)))</formula>
    </cfRule>
  </conditionalFormatting>
  <conditionalFormatting sqref="U22:W22 Z22:AB22">
    <cfRule type="containsText" dxfId="68" priority="67" operator="containsText" text="Aus-gleich?">
      <formula>NOT(ISERROR(SEARCH("Aus-gleich?",U22)))</formula>
    </cfRule>
    <cfRule type="containsText" dxfId="67" priority="68" operator="containsText" text="X">
      <formula>NOT(ISERROR(SEARCH("X",U22)))</formula>
    </cfRule>
    <cfRule type="containsText" dxfId="66" priority="69" operator="containsText" text="Aus- gleich !">
      <formula>NOT(ISERROR(SEARCH("Aus- gleich !",U22)))</formula>
    </cfRule>
    <cfRule type="containsText" dxfId="65" priority="70" operator="containsText" text="OK">
      <formula>NOT(ISERROR(SEARCH("OK",U22)))</formula>
    </cfRule>
  </conditionalFormatting>
  <conditionalFormatting sqref="AB22">
    <cfRule type="containsText" dxfId="64" priority="63" operator="containsText" text="Aus-gleich?">
      <formula>NOT(ISERROR(SEARCH("Aus-gleich?",AB22)))</formula>
    </cfRule>
    <cfRule type="containsText" dxfId="63" priority="64" operator="containsText" text="X">
      <formula>NOT(ISERROR(SEARCH("X",AB22)))</formula>
    </cfRule>
    <cfRule type="containsText" dxfId="62" priority="65" operator="containsText" text="Aus- gleich !">
      <formula>NOT(ISERROR(SEARCH("Aus- gleich !",AB22)))</formula>
    </cfRule>
    <cfRule type="containsText" dxfId="61" priority="66" operator="containsText" text="OK">
      <formula>NOT(ISERROR(SEARCH("OK",AB22)))</formula>
    </cfRule>
  </conditionalFormatting>
  <conditionalFormatting sqref="AC22 AE22">
    <cfRule type="containsText" dxfId="60" priority="59" operator="containsText" text="Aus-gleich?">
      <formula>NOT(ISERROR(SEARCH("Aus-gleich?",AC22)))</formula>
    </cfRule>
    <cfRule type="containsText" dxfId="59" priority="60" operator="containsText" text="X">
      <formula>NOT(ISERROR(SEARCH("X",AC22)))</formula>
    </cfRule>
    <cfRule type="containsText" dxfId="58" priority="61" operator="containsText" text="Aus- gleich !">
      <formula>NOT(ISERROR(SEARCH("Aus- gleich !",AC22)))</formula>
    </cfRule>
    <cfRule type="containsText" dxfId="57" priority="62" operator="containsText" text="OK">
      <formula>NOT(ISERROR(SEARCH("OK",AC22)))</formula>
    </cfRule>
  </conditionalFormatting>
  <conditionalFormatting sqref="U22:W22 Z22:AC22 AE22">
    <cfRule type="containsText" dxfId="56" priority="58" operator="containsText" text="Aus- gleich !">
      <formula>NOT(ISERROR(SEARCH("Aus- gleich !",U22)))</formula>
    </cfRule>
  </conditionalFormatting>
  <conditionalFormatting sqref="Y22">
    <cfRule type="containsText" dxfId="55" priority="54" operator="containsText" text="Aus-gleich?">
      <formula>NOT(ISERROR(SEARCH("Aus-gleich?",Y22)))</formula>
    </cfRule>
    <cfRule type="containsText" dxfId="54" priority="55" operator="containsText" text="X">
      <formula>NOT(ISERROR(SEARCH("X",Y22)))</formula>
    </cfRule>
    <cfRule type="containsText" dxfId="53" priority="56" operator="containsText" text="Aus- gleich !">
      <formula>NOT(ISERROR(SEARCH("Aus- gleich !",Y22)))</formula>
    </cfRule>
    <cfRule type="containsText" dxfId="52" priority="57" operator="containsText" text="OK">
      <formula>NOT(ISERROR(SEARCH("OK",Y22)))</formula>
    </cfRule>
  </conditionalFormatting>
  <conditionalFormatting sqref="Y22">
    <cfRule type="containsText" dxfId="51" priority="53" operator="containsText" text="Aus- gleich !">
      <formula>NOT(ISERROR(SEARCH("Aus- gleich !",Y22)))</formula>
    </cfRule>
  </conditionalFormatting>
  <conditionalFormatting sqref="AB22">
    <cfRule type="containsText" dxfId="50" priority="49" operator="containsText" text="Aus-gleich?">
      <formula>NOT(ISERROR(SEARCH("Aus-gleich?",AB22)))</formula>
    </cfRule>
    <cfRule type="containsText" dxfId="49" priority="50" operator="containsText" text="X">
      <formula>NOT(ISERROR(SEARCH("X",AB22)))</formula>
    </cfRule>
    <cfRule type="containsText" dxfId="48" priority="51" operator="containsText" text="Aus- gleich !">
      <formula>NOT(ISERROR(SEARCH("Aus- gleich !",AB22)))</formula>
    </cfRule>
    <cfRule type="containsText" dxfId="47" priority="52" operator="containsText" text="OK">
      <formula>NOT(ISERROR(SEARCH("OK",AB22)))</formula>
    </cfRule>
  </conditionalFormatting>
  <conditionalFormatting sqref="X22">
    <cfRule type="containsText" dxfId="46" priority="45" operator="containsText" text="Aus-gleich?">
      <formula>NOT(ISERROR(SEARCH("Aus-gleich?",X22)))</formula>
    </cfRule>
    <cfRule type="containsText" dxfId="45" priority="46" operator="containsText" text="X">
      <formula>NOT(ISERROR(SEARCH("X",X22)))</formula>
    </cfRule>
    <cfRule type="containsText" dxfId="44" priority="47" operator="containsText" text="Aus- gleich !">
      <formula>NOT(ISERROR(SEARCH("Aus- gleich !",X22)))</formula>
    </cfRule>
    <cfRule type="containsText" dxfId="43" priority="48" operator="containsText" text="OK">
      <formula>NOT(ISERROR(SEARCH("OK",X22)))</formula>
    </cfRule>
  </conditionalFormatting>
  <conditionalFormatting sqref="X22">
    <cfRule type="containsText" dxfId="42" priority="44" operator="containsText" text="Aus- gleich !">
      <formula>NOT(ISERROR(SEARCH("Aus- gleich !",X22)))</formula>
    </cfRule>
  </conditionalFormatting>
  <conditionalFormatting sqref="I22">
    <cfRule type="containsText" dxfId="41" priority="39" operator="containsText" text="Aus- gleich !">
      <formula>NOT(ISERROR(SEARCH("Aus- gleich !",I22)))</formula>
    </cfRule>
  </conditionalFormatting>
  <conditionalFormatting sqref="I22">
    <cfRule type="containsText" dxfId="40" priority="40" operator="containsText" text="Aus-gleich?">
      <formula>NOT(ISERROR(SEARCH("Aus-gleich?",I22)))</formula>
    </cfRule>
    <cfRule type="containsText" dxfId="39" priority="41" operator="containsText" text="X">
      <formula>NOT(ISERROR(SEARCH("X",I22)))</formula>
    </cfRule>
    <cfRule type="containsText" dxfId="38" priority="42" operator="containsText" text="Aus- gleich !">
      <formula>NOT(ISERROR(SEARCH("Aus- gleich !",I22)))</formula>
    </cfRule>
    <cfRule type="containsText" dxfId="37" priority="43" operator="containsText" text="OK">
      <formula>NOT(ISERROR(SEARCH("OK",I22)))</formula>
    </cfRule>
  </conditionalFormatting>
  <conditionalFormatting sqref="AD22">
    <cfRule type="containsText" dxfId="36" priority="35" operator="containsText" text="Aus-gleich?">
      <formula>NOT(ISERROR(SEARCH("Aus-gleich?",AD22)))</formula>
    </cfRule>
    <cfRule type="containsText" dxfId="35" priority="36" operator="containsText" text="X">
      <formula>NOT(ISERROR(SEARCH("X",AD22)))</formula>
    </cfRule>
    <cfRule type="containsText" dxfId="34" priority="37" operator="containsText" text="Aus- gleich !">
      <formula>NOT(ISERROR(SEARCH("Aus- gleich !",AD22)))</formula>
    </cfRule>
    <cfRule type="containsText" dxfId="33" priority="38" operator="containsText" text="OK">
      <formula>NOT(ISERROR(SEARCH("OK",AD22)))</formula>
    </cfRule>
  </conditionalFormatting>
  <conditionalFormatting sqref="AD22">
    <cfRule type="containsText" dxfId="32" priority="34" operator="containsText" text="Aus- gleich !">
      <formula>NOT(ISERROR(SEARCH("Aus- gleich !",AD22)))</formula>
    </cfRule>
  </conditionalFormatting>
  <conditionalFormatting sqref="AF21:AG21">
    <cfRule type="cellIs" dxfId="31" priority="33" operator="equal">
      <formula>0</formula>
    </cfRule>
  </conditionalFormatting>
  <conditionalFormatting sqref="AF22:AG22">
    <cfRule type="containsText" dxfId="30" priority="29" operator="containsText" text="Aus-gleich?">
      <formula>NOT(ISERROR(SEARCH("Aus-gleich?",AF22)))</formula>
    </cfRule>
    <cfRule type="containsText" dxfId="29" priority="30" operator="containsText" text="X">
      <formula>NOT(ISERROR(SEARCH("X",AF22)))</formula>
    </cfRule>
    <cfRule type="containsText" dxfId="28" priority="31" operator="containsText" text="Aus- gleich !">
      <formula>NOT(ISERROR(SEARCH("Aus- gleich !",AF22)))</formula>
    </cfRule>
    <cfRule type="containsText" dxfId="27" priority="32" operator="containsText" text="OK">
      <formula>NOT(ISERROR(SEARCH("OK",AF22)))</formula>
    </cfRule>
  </conditionalFormatting>
  <conditionalFormatting sqref="AF22:AG22">
    <cfRule type="containsText" dxfId="26" priority="28" operator="containsText" text="Aus- gleich !">
      <formula>NOT(ISERROR(SEARCH("Aus- gleich !",AF22)))</formula>
    </cfRule>
  </conditionalFormatting>
  <conditionalFormatting sqref="AF23">
    <cfRule type="containsText" dxfId="25" priority="24" operator="containsText" text="Aus-gleich?">
      <formula>NOT(ISERROR(SEARCH("Aus-gleich?",AF23)))</formula>
    </cfRule>
    <cfRule type="containsText" dxfId="24" priority="25" operator="containsText" text="X">
      <formula>NOT(ISERROR(SEARCH("X",AF23)))</formula>
    </cfRule>
    <cfRule type="containsText" dxfId="23" priority="26" operator="containsText" text="Aus- gleich !">
      <formula>NOT(ISERROR(SEARCH("Aus- gleich !",AF23)))</formula>
    </cfRule>
    <cfRule type="containsText" dxfId="22" priority="27" operator="containsText" text="OK">
      <formula>NOT(ISERROR(SEARCH("OK",AF23)))</formula>
    </cfRule>
  </conditionalFormatting>
  <conditionalFormatting sqref="AF23">
    <cfRule type="containsText" dxfId="21" priority="23" operator="containsText" text="kein erw. RS">
      <formula>NOT(ISERROR(SEARCH("kein erw. RS",AF23)))</formula>
    </cfRule>
  </conditionalFormatting>
  <conditionalFormatting sqref="AG23">
    <cfRule type="containsText" dxfId="20" priority="19" operator="containsText" text="Aus-gleich?">
      <formula>NOT(ISERROR(SEARCH("Aus-gleich?",AG23)))</formula>
    </cfRule>
    <cfRule type="containsText" dxfId="19" priority="20" operator="containsText" text="X">
      <formula>NOT(ISERROR(SEARCH("X",AG23)))</formula>
    </cfRule>
    <cfRule type="containsText" dxfId="18" priority="21" operator="containsText" text="Aus- gleich !">
      <formula>NOT(ISERROR(SEARCH("Aus- gleich !",AG23)))</formula>
    </cfRule>
    <cfRule type="containsText" dxfId="17" priority="22" operator="containsText" text="OK">
      <formula>NOT(ISERROR(SEARCH("OK",AG23)))</formula>
    </cfRule>
  </conditionalFormatting>
  <conditionalFormatting sqref="AG23">
    <cfRule type="containsText" dxfId="16" priority="18" operator="containsText" text="kein erw. RS">
      <formula>NOT(ISERROR(SEARCH("kein erw. RS",AG23)))</formula>
    </cfRule>
  </conditionalFormatting>
  <conditionalFormatting sqref="AJ21">
    <cfRule type="cellIs" dxfId="15" priority="17" operator="equal">
      <formula>0</formula>
    </cfRule>
  </conditionalFormatting>
  <conditionalFormatting sqref="Q23:R23">
    <cfRule type="containsText" dxfId="14" priority="12" operator="containsText" text="Aus-gleich?">
      <formula>NOT(ISERROR(SEARCH("Aus-gleich?",Q23)))</formula>
    </cfRule>
    <cfRule type="containsText" dxfId="13" priority="13" operator="containsText" text="X">
      <formula>NOT(ISERROR(SEARCH("X",Q23)))</formula>
    </cfRule>
    <cfRule type="containsText" dxfId="12" priority="14" operator="containsText" text="Aus- gleich !">
      <formula>NOT(ISERROR(SEARCH("Aus- gleich !",Q23)))</formula>
    </cfRule>
    <cfRule type="containsText" dxfId="11" priority="15" operator="containsText" text="OK">
      <formula>NOT(ISERROR(SEARCH("OK",Q23)))</formula>
    </cfRule>
  </conditionalFormatting>
  <conditionalFormatting sqref="Q22:R22">
    <cfRule type="containsText" dxfId="10" priority="8" operator="containsText" text="Aus-gleich?">
      <formula>NOT(ISERROR(SEARCH("Aus-gleich?",Q22)))</formula>
    </cfRule>
    <cfRule type="containsText" dxfId="9" priority="9" operator="containsText" text="X">
      <formula>NOT(ISERROR(SEARCH("X",Q22)))</formula>
    </cfRule>
    <cfRule type="containsText" dxfId="8" priority="10" operator="containsText" text="Aus- gleich !">
      <formula>NOT(ISERROR(SEARCH("Aus- gleich !",Q22)))</formula>
    </cfRule>
    <cfRule type="containsText" dxfId="7" priority="11" operator="containsText" text="OK">
      <formula>NOT(ISERROR(SEARCH("OK",Q22)))</formula>
    </cfRule>
  </conditionalFormatting>
  <conditionalFormatting sqref="R23">
    <cfRule type="containsText" dxfId="6" priority="4" operator="containsText" text="Aus-gleich?">
      <formula>NOT(ISERROR(SEARCH("Aus-gleich?",R23)))</formula>
    </cfRule>
    <cfRule type="containsText" dxfId="5" priority="5" operator="containsText" text="X">
      <formula>NOT(ISERROR(SEARCH("X",R23)))</formula>
    </cfRule>
    <cfRule type="containsText" dxfId="4" priority="6" operator="containsText" text="Aus- gleich !">
      <formula>NOT(ISERROR(SEARCH("Aus- gleich !",R23)))</formula>
    </cfRule>
    <cfRule type="containsText" dxfId="3" priority="7" operator="containsText" text="OK">
      <formula>NOT(ISERROR(SEARCH("OK",R23)))</formula>
    </cfRule>
  </conditionalFormatting>
  <conditionalFormatting sqref="Q22:R22">
    <cfRule type="containsText" dxfId="2" priority="3" operator="containsText" text="Aus- gleich !">
      <formula>NOT(ISERROR(SEARCH("Aus- gleich !",Q22)))</formula>
    </cfRule>
  </conditionalFormatting>
  <conditionalFormatting sqref="Q23:R23">
    <cfRule type="containsText" dxfId="1" priority="2" operator="containsText" text="kein erw. RS">
      <formula>NOT(ISERROR(SEARCH("kein erw. RS",Q23)))</formula>
    </cfRule>
  </conditionalFormatting>
  <conditionalFormatting sqref="A7:N7">
    <cfRule type="notContainsBlanks" dxfId="0" priority="1">
      <formula>LEN(TRIM(A7))&gt;0</formula>
    </cfRule>
  </conditionalFormatting>
  <dataValidations count="2">
    <dataValidation type="list" allowBlank="1" showInputMessage="1" showErrorMessage="1" sqref="B3 D3 F3 H3">
      <formula1>$BB$1:$BB$3</formula1>
    </dataValidation>
    <dataValidation type="list" allowBlank="1" showInputMessage="1" showErrorMessage="1" sqref="C3 E3 G3 I3:K3 B6:N6">
      <formula1>$BC$1:$BC$6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Larink</dc:creator>
  <cp:lastModifiedBy>J. Lüschen</cp:lastModifiedBy>
  <cp:lastPrinted>2018-10-29T09:45:08Z</cp:lastPrinted>
  <dcterms:created xsi:type="dcterms:W3CDTF">2017-04-11T11:03:13Z</dcterms:created>
  <dcterms:modified xsi:type="dcterms:W3CDTF">2018-10-29T09:45:23Z</dcterms:modified>
</cp:coreProperties>
</file>